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esktop-b9mgho0\e\Clickspring Channel\Content\Projects\Tools Glorious Tools\10_Shop Made Gear Cutters - Part 2\Calculator\"/>
    </mc:Choice>
  </mc:AlternateContent>
  <bookViews>
    <workbookView xWindow="120" yWindow="45" windowWidth="14355" windowHeight="11820" activeTab="1"/>
  </bookViews>
  <sheets>
    <sheet name="Involute Spur " sheetId="8" r:id="rId1"/>
    <sheet name="BS 978 Part 2 based &quot;Cycloidal&quot;" sheetId="7" r:id="rId2"/>
  </sheets>
  <definedNames>
    <definedName name="_xlnm.Print_Area" localSheetId="1">'BS 978 Part 2 based "Cycloidal"'!$B$1:$I$42</definedName>
    <definedName name="_xlnm.Print_Area" localSheetId="0">'Involute Spur '!$B$2:$I$43</definedName>
  </definedNames>
  <calcPr calcId="152511"/>
</workbook>
</file>

<file path=xl/calcChain.xml><?xml version="1.0" encoding="utf-8"?>
<calcChain xmlns="http://schemas.openxmlformats.org/spreadsheetml/2006/main">
  <c r="I8" i="8" l="1"/>
  <c r="I7" i="7" l="1"/>
  <c r="I12" i="7"/>
  <c r="R7" i="7"/>
  <c r="R7" i="8" l="1"/>
  <c r="O14" i="8"/>
  <c r="F16" i="8"/>
  <c r="I10" i="7" l="1"/>
  <c r="O10" i="8" l="1"/>
  <c r="O12" i="8"/>
  <c r="O13" i="8"/>
  <c r="Q49" i="8"/>
  <c r="N11" i="8" s="1"/>
  <c r="Q48" i="8"/>
  <c r="Q50" i="8" s="1"/>
  <c r="E48" i="8"/>
  <c r="E74" i="8" s="1"/>
  <c r="Q47" i="8"/>
  <c r="G74" i="8" l="1"/>
  <c r="E16" i="8"/>
  <c r="N5" i="8"/>
  <c r="Q55" i="8"/>
  <c r="S55" i="8" s="1"/>
  <c r="Q51" i="8"/>
  <c r="S51" i="8" s="1"/>
  <c r="Q70" i="8"/>
  <c r="N13" i="8" s="1"/>
  <c r="Q52" i="8"/>
  <c r="S52" i="8" s="1"/>
  <c r="Q53" i="8"/>
  <c r="S53" i="8" s="1"/>
  <c r="Q54" i="8"/>
  <c r="Q73" i="8" s="1"/>
  <c r="Q56" i="8"/>
  <c r="O8" i="8"/>
  <c r="O7" i="8"/>
  <c r="M5" i="8"/>
  <c r="M4" i="8"/>
  <c r="N10" i="8" l="1"/>
  <c r="Q74" i="8"/>
  <c r="S54" i="8"/>
  <c r="S70" i="8"/>
  <c r="S56" i="8"/>
  <c r="Q71" i="8"/>
  <c r="S74" i="8" l="1"/>
  <c r="N14" i="8"/>
  <c r="S73" i="8"/>
  <c r="Q7" i="8"/>
  <c r="S71" i="8"/>
  <c r="N7" i="8"/>
  <c r="N8" i="8" s="1"/>
  <c r="F7" i="7"/>
  <c r="F8" i="7"/>
  <c r="O8" i="7"/>
  <c r="O7" i="7"/>
  <c r="D4" i="7"/>
  <c r="Q72" i="8" l="1"/>
  <c r="S72" i="8"/>
  <c r="F9" i="8"/>
  <c r="D5" i="8"/>
  <c r="F13" i="8"/>
  <c r="O13" i="7"/>
  <c r="F13" i="7"/>
  <c r="F12" i="7"/>
  <c r="F8" i="8"/>
  <c r="N12" i="8" l="1"/>
  <c r="M4" i="7"/>
  <c r="M5" i="7"/>
  <c r="O10" i="7"/>
  <c r="R10" i="7"/>
  <c r="R11" i="7"/>
  <c r="O12" i="7"/>
  <c r="O14" i="7"/>
  <c r="O15" i="7"/>
  <c r="N73" i="7"/>
  <c r="N74" i="7"/>
  <c r="N75" i="7"/>
  <c r="D5" i="7"/>
  <c r="E77" i="7"/>
  <c r="E76" i="7"/>
  <c r="H84" i="7" s="1"/>
  <c r="I11" i="7"/>
  <c r="F15" i="7"/>
  <c r="F14" i="7"/>
  <c r="F10" i="7"/>
  <c r="N56" i="7" l="1"/>
  <c r="K10" i="7" s="1"/>
  <c r="N48" i="7"/>
  <c r="E81" i="7"/>
  <c r="E84" i="7"/>
  <c r="H10" i="7" s="1"/>
  <c r="E78" i="7"/>
  <c r="N5" i="7"/>
  <c r="N50" i="7"/>
  <c r="N62" i="7" s="1"/>
  <c r="N46" i="7"/>
  <c r="N57" i="7" s="1"/>
  <c r="N49" i="7"/>
  <c r="N64" i="7" s="1"/>
  <c r="N78" i="7"/>
  <c r="N61" i="7"/>
  <c r="N67" i="7"/>
  <c r="N47" i="7"/>
  <c r="N76" i="7" s="1"/>
  <c r="N79" i="7"/>
  <c r="E5" i="7"/>
  <c r="N82" i="7" l="1"/>
  <c r="Q62" i="7"/>
  <c r="N12" i="7"/>
  <c r="N68" i="7"/>
  <c r="N77" i="7" s="1"/>
  <c r="H78" i="7"/>
  <c r="E10" i="7"/>
  <c r="N63" i="7"/>
  <c r="Q78" i="7"/>
  <c r="N60" i="7"/>
  <c r="Q10" i="7" s="1"/>
  <c r="Q11" i="7"/>
  <c r="N59" i="7"/>
  <c r="N65" i="7" s="1"/>
  <c r="N66" i="7"/>
  <c r="N58" i="7"/>
  <c r="Q79" i="7"/>
  <c r="N14" i="7"/>
  <c r="D4" i="8"/>
  <c r="F15" i="8"/>
  <c r="I12" i="8"/>
  <c r="I11" i="8"/>
  <c r="F14" i="8"/>
  <c r="F12" i="8"/>
  <c r="F11" i="8"/>
  <c r="Q82" i="7" l="1"/>
  <c r="Q7" i="7"/>
  <c r="N11" i="7"/>
  <c r="N80" i="7"/>
  <c r="Q60" i="7"/>
  <c r="Q76" i="7"/>
  <c r="N10" i="7"/>
  <c r="N15" i="7"/>
  <c r="Q77" i="7"/>
  <c r="E69" i="7"/>
  <c r="E61" i="7"/>
  <c r="E49" i="8"/>
  <c r="E50" i="8"/>
  <c r="N7" i="7" l="1"/>
  <c r="N8" i="7" s="1"/>
  <c r="Q80" i="7"/>
  <c r="E63" i="8"/>
  <c r="E49" i="7"/>
  <c r="E57" i="7" s="1"/>
  <c r="E55" i="7"/>
  <c r="E56" i="7"/>
  <c r="E70" i="7"/>
  <c r="E71" i="7"/>
  <c r="E59" i="7"/>
  <c r="E64" i="7"/>
  <c r="E65" i="7" s="1"/>
  <c r="E11" i="7" s="1"/>
  <c r="E63" i="7"/>
  <c r="N81" i="7" l="1"/>
  <c r="N13" i="7" s="1"/>
  <c r="Q81" i="7"/>
  <c r="H11" i="7"/>
  <c r="H70" i="7"/>
  <c r="E58" i="7"/>
  <c r="E82" i="7" s="1"/>
  <c r="E62" i="7"/>
  <c r="E72" i="7" s="1"/>
  <c r="H12" i="7" s="1"/>
  <c r="E60" i="7"/>
  <c r="E85" i="7" s="1"/>
  <c r="H85" i="7" l="1"/>
  <c r="H7" i="7"/>
  <c r="E79" i="7"/>
  <c r="E80" i="7" s="1"/>
  <c r="E7" i="7"/>
  <c r="E8" i="7" s="1"/>
  <c r="H72" i="7"/>
  <c r="E47" i="8"/>
  <c r="E83" i="7" l="1"/>
  <c r="E14" i="7"/>
  <c r="H81" i="7"/>
  <c r="E15" i="7"/>
  <c r="H79" i="7"/>
  <c r="E12" i="7"/>
  <c r="H80" i="7"/>
  <c r="H83" i="7" s="1"/>
  <c r="E5" i="8"/>
  <c r="H82" i="7"/>
  <c r="E51" i="8"/>
  <c r="E55" i="8"/>
  <c r="E73" i="8" s="1"/>
  <c r="E70" i="8"/>
  <c r="E58" i="8"/>
  <c r="E57" i="8"/>
  <c r="E52" i="8"/>
  <c r="E59" i="8"/>
  <c r="G59" i="8" s="1"/>
  <c r="E56" i="8"/>
  <c r="E54" i="8"/>
  <c r="E53" i="8"/>
  <c r="H8" i="8" l="1"/>
  <c r="G73" i="8"/>
  <c r="E13" i="7"/>
  <c r="G70" i="8"/>
  <c r="E15" i="8"/>
  <c r="E60" i="8"/>
  <c r="E61" i="8"/>
  <c r="H12" i="8" s="1"/>
  <c r="H11" i="8"/>
  <c r="E71" i="8"/>
  <c r="E67" i="8"/>
  <c r="E62" i="8"/>
  <c r="E68" i="8" s="1"/>
  <c r="G61" i="8" l="1"/>
  <c r="E8" i="8"/>
  <c r="G71" i="8"/>
  <c r="G68" i="8"/>
  <c r="E12" i="8"/>
  <c r="E11" i="8"/>
  <c r="G67" i="8"/>
  <c r="E69" i="8"/>
  <c r="E9" i="8" l="1"/>
  <c r="E72" i="8" s="1"/>
  <c r="G69" i="8"/>
  <c r="E14" i="8"/>
  <c r="G72" i="8" l="1"/>
  <c r="E13" i="8" s="1"/>
</calcChain>
</file>

<file path=xl/comments1.xml><?xml version="1.0" encoding="utf-8"?>
<comments xmlns="http://schemas.openxmlformats.org/spreadsheetml/2006/main">
  <authors>
    <author>Chris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Formulae as per Machinery's Handbook 29 for "Standard Spur Gears" pg 2131, unless where specified.
Involute is approximated by a circular arc struck from base Circle, with diameter 'D'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 xml:space="preserve">Formulae as per Machinery's Handbook 29 for "Basic Rack Involute Systems" pg 2133,  unless where specified.
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 xml:space="preserve">Clearance is expressed as a ratio of the basic dedendum, and is then added on to give the actual </t>
        </r>
        <r>
          <rPr>
            <b/>
            <i/>
            <sz val="9"/>
            <color indexed="81"/>
            <rFont val="Tahoma"/>
            <family val="2"/>
          </rPr>
          <t>implemented</t>
        </r>
        <r>
          <rPr>
            <b/>
            <sz val="9"/>
            <color indexed="81"/>
            <rFont val="Tahoma"/>
            <family val="2"/>
          </rPr>
          <t xml:space="preserve"> Dedendum ie [(1+clearance)/DP].
Eg the modern ANSI spur gear standard has a preferred Dedendum of 1.25/DP, implying a 25% clearance additive to the unadjusted dedendum. A clearance of 0.157 implies a 15.7% clearance, and a Dedendum of  1.157/DP etc
There are several different clearances specified across the various standards, both current and obsolete, including at least those in this list.
Refer Machinery's Handbook "Spur Gearing", Tables 1 through 6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 xml:space="preserve">Clearance is expressed as a ratio of the basic dedendum, and is then added on to give the actual </t>
        </r>
        <r>
          <rPr>
            <b/>
            <i/>
            <sz val="9"/>
            <color indexed="81"/>
            <rFont val="Tahoma"/>
            <family val="2"/>
          </rPr>
          <t>implemented</t>
        </r>
        <r>
          <rPr>
            <b/>
            <sz val="9"/>
            <color indexed="81"/>
            <rFont val="Tahoma"/>
            <family val="2"/>
          </rPr>
          <t xml:space="preserve"> Dedendum ie [(1+clearance)/DP].
Eg the modern ANSI spur gear standard has a preferred Dedendum of 1.25/DP, implying a 25% clearance additive to the unadjusted dedendum. A clearance of 0.157 implies a 15.7% clearance, and a Dedendum of  1.157/DP etc
There are several different clearances specified across the various standards, both current and obsolete, including at least those in this list.
Refer Machinery's Handbook "Spur Gearing", Tables 1 through 6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Not strictly required for the Involute profile, but reducing cutter width will reduce sharpening time.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Feed in the cut on an approximate 35 degree angle, refer to TGT#10 part 4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Not strictly required for the Involute profile, but reducing cutter width will reduce sharpening time.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Feed in the cut on an approximate 35 degree angle, refer to TGT#10 part 4</t>
        </r>
      </text>
    </comment>
    <comment ref="M14" authorId="0" shapeId="0">
      <text>
        <r>
          <rPr>
            <b/>
            <sz val="9"/>
            <color indexed="81"/>
            <rFont val="Tahoma"/>
            <family val="2"/>
          </rPr>
          <t>NOTE: If used prior to fillet geometry formation, this dimension can be a useful way to check the progress of the cutter formation.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NOTE: If used prior to fillet geometry formation, this dimension can be a useful way to check the progress of the cutter formation.</t>
        </r>
      </text>
    </comment>
  </commentList>
</comments>
</file>

<file path=xl/comments2.xml><?xml version="1.0" encoding="utf-8"?>
<comments xmlns="http://schemas.openxmlformats.org/spreadsheetml/2006/main">
  <authors>
    <author>Chris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Dimensions based on square bottom cutter data, as published by PP Thornton, which is a simplified version of the BS 978 part 2.
By design BS 978 part 2 is already somewhat simplified by the use of circular approximations of cycloidal curves, rather than true cycloids.
The other main differences are: 
- Square bottom teeth
- f, fr and flank angle based on a 45 T/6t wheel/pinion combination</t>
        </r>
      </text>
    </comment>
    <comment ref="R3" authorId="0" shapeId="0">
      <text>
        <r>
          <rPr>
            <b/>
            <sz val="9"/>
            <color indexed="81"/>
            <rFont val="Tahoma"/>
            <family val="2"/>
          </rPr>
          <t xml:space="preserve">Dimensions based on square bottom cutter data, as published by PP Thornton, which is a simplified version of the BS 978 part 2.
By design BS 978 part 2 is already somewhat simplified by the use of circular approximations of cycloidal curves, rather than true cycloids.
The other main differences are: 
- Much smaller pinion root diameter, based on the product of fixed constants and Module, rather than dedendum.
- Where some constants change in BS 978 Part 2 from "11 leaves and over", PP Thorntons change from 10 leaves and over 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>This is the minimum cutter blank thickness that will ensure wheel topping whilst cutting  teeth numbers where n&lt;45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Feed in the cut directly from the side, refer to TGT#10 part 4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This is the optimum cutter blank thickness that will ensure topping of the tooth and clearance of adjacent teeth during the cut. This can be a shouldered section on the perimeter of a thicker blank, as depicted below.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Feed in the cut directly from the side, refer to TGT#10 part 4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NOTE: If used prior to fillet geometry formation, this dimension can be a useful way to check the progress of the cutter formation.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NOTE: If used prior to fillet geometry formation, this dimension can be a useful way to check the progress of the cutter formation.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 xml:space="preserve">This is a nominal figure that is used for all wheel tooth cutter dimension calculations other than blank OD.
Selecting a nominal figure permits the use of a single f/fr combination, and is a compromise that reduces all wheel cutters to a single geometry based on Module only.
Strictly speaking it is only correct for a 45/7 combination, but in practice the variation for other T/t combinations is minimal for most normal going train data 
This is not the </t>
        </r>
        <r>
          <rPr>
            <b/>
            <i/>
            <sz val="9"/>
            <color indexed="81"/>
            <rFont val="Tahoma"/>
            <family val="2"/>
          </rPr>
          <t>actual</t>
        </r>
        <r>
          <rPr>
            <b/>
            <sz val="9"/>
            <color indexed="81"/>
            <rFont val="Tahoma"/>
            <family val="2"/>
          </rPr>
          <t xml:space="preserve"> tooth number.</t>
        </r>
      </text>
    </comment>
    <comment ref="N46" authorId="0" shapeId="0">
      <text>
        <r>
          <rPr>
            <b/>
            <sz val="9"/>
            <color indexed="81"/>
            <rFont val="Tahoma"/>
            <family val="2"/>
          </rPr>
          <t xml:space="preserve">Note: BS 978 specifies 0.805 to be used with Profile B for 11 leaves and over, however PP Thorntons use this figure for </t>
        </r>
        <r>
          <rPr>
            <b/>
            <i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Tahoma"/>
            <family val="2"/>
          </rPr>
          <t xml:space="preserve"> leaves and over.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From BS 978 part 2 table 3 using T/t of 7.5/1 with 6 pinion leaves (ie 45/6).
PP Thorntons appear to ignore the BS978 95% clearance factor, so 1.313/0.95 = 1.382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 xml:space="preserve">From BS 978 part 2 table 3 using T/t of 7.5/1 with 6 leaves (ie 45/6). </t>
        </r>
      </text>
    </comment>
    <comment ref="N48" authorId="0" shapeId="0">
      <text>
        <r>
          <rPr>
            <b/>
            <sz val="9"/>
            <color indexed="81"/>
            <rFont val="Tahoma"/>
            <family val="2"/>
          </rPr>
          <t xml:space="preserve">The purpose of this ratio is to provide extra clearance.
BS978 implies this figure to be  1/3 for 6 to 10 leaves, and 2/5 for 11 leaves and over.
As for the f factor, PP Thorntons use the value of 2/5 for </t>
        </r>
        <r>
          <rPr>
            <b/>
            <i/>
            <u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Tahoma"/>
            <family val="2"/>
          </rPr>
          <t xml:space="preserve"> leaves and over.
(Also note that 1/3*Pi = 1.05 and 2/5*Pi = 1.25 which is how BS 978 Part 2 calculates the leaf thickness factor.)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BS 978 part 2 has a single factor of 1.57, with no variation specified for module.
PP Thorntons have factor of 2 for M0.5 up to M1.0, and a factor of 1.57 otherwise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 xml:space="preserve">As for the above figures, BS1978 has this figure as leaves 6-10 = 1.05, and 11 and over = 1.25.
PP Thorntons have 6 - 9 leaves = 1.05 and </t>
        </r>
        <r>
          <rPr>
            <b/>
            <i/>
            <u/>
            <sz val="9"/>
            <color indexed="81"/>
            <rFont val="Tahoma"/>
            <family val="2"/>
          </rPr>
          <t>10</t>
        </r>
        <r>
          <rPr>
            <b/>
            <sz val="9"/>
            <color indexed="81"/>
            <rFont val="Tahoma"/>
            <family val="2"/>
          </rPr>
          <t xml:space="preserve"> leaves and over = 1.25</t>
        </r>
      </text>
    </comment>
    <comment ref="N50" authorId="0" shapeId="0">
      <text>
        <r>
          <rPr>
            <b/>
            <sz val="9"/>
            <color indexed="81"/>
            <rFont val="Tahoma"/>
            <family val="2"/>
          </rPr>
          <t>This is not part of BS 978. Tha Standard calculates root diameter as PCD-(2*Dedendum)
My understanding is that these figures have been selected by PP Thornton to match historical tooth profiles, and give better ling term clearance/operation.</t>
        </r>
      </text>
    </comment>
    <comment ref="N59" authorId="0" shapeId="0">
      <text>
        <r>
          <rPr>
            <b/>
            <sz val="9"/>
            <color indexed="81"/>
            <rFont val="Tahoma"/>
            <family val="2"/>
          </rPr>
          <t>This figure is a function of the PP Thornton Root Diameter Constant.
It differs significantly from BS 978 part 2 which calculates the value as = (f+0.4) x M</t>
        </r>
      </text>
    </comment>
    <comment ref="N62" authorId="0" shapeId="0">
      <text>
        <r>
          <rPr>
            <b/>
            <sz val="9"/>
            <color indexed="81"/>
            <rFont val="Tahoma"/>
            <family val="2"/>
          </rPr>
          <t>This figure is a function of the PP Thornton Root Diameter Constant.
This value differs significantly from BS 978 part 2 which calculates the value as  = PCD - (2*(f+0.4)xM)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</rPr>
          <t>Scale factor of 1.3 ensures tooth topping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Scale factor of 1.3 ensures topping of the tooth even when used to cut wheels with n&lt;45</t>
        </r>
      </text>
    </comment>
  </commentList>
</comments>
</file>

<file path=xl/sharedStrings.xml><?xml version="1.0" encoding="utf-8"?>
<sst xmlns="http://schemas.openxmlformats.org/spreadsheetml/2006/main" count="340" uniqueCount="133">
  <si>
    <t>Constants:</t>
  </si>
  <si>
    <t>f:</t>
  </si>
  <si>
    <t>fr:</t>
  </si>
  <si>
    <t>Leaf thickness factor:</t>
  </si>
  <si>
    <t>Tooth/Pitch ratio:</t>
  </si>
  <si>
    <t>Addendum:</t>
  </si>
  <si>
    <t>Addendum Radius:</t>
  </si>
  <si>
    <t>Pitch Circle Diameter:</t>
  </si>
  <si>
    <t>Root Diameter:</t>
  </si>
  <si>
    <t>Root Diameter Constant:</t>
  </si>
  <si>
    <t>Outside Diameter:</t>
  </si>
  <si>
    <t>Dedendum:</t>
  </si>
  <si>
    <t>mm</t>
  </si>
  <si>
    <t>Cutter Flank Angle:</t>
  </si>
  <si>
    <t>Gap Included Angle:</t>
  </si>
  <si>
    <t>Leaf Included Angle:</t>
  </si>
  <si>
    <t>Pinion Shape Data:</t>
  </si>
  <si>
    <t>Cutter Shape Data:</t>
  </si>
  <si>
    <t>°</t>
  </si>
  <si>
    <t>Tooth Thickness at PCD:</t>
  </si>
  <si>
    <t>Tooth Space at PCD:</t>
  </si>
  <si>
    <t>Full Tooth Depth:</t>
  </si>
  <si>
    <t>Tip Profile:</t>
  </si>
  <si>
    <t>Dedendum Factor</t>
  </si>
  <si>
    <t>Nominal Teeth:</t>
  </si>
  <si>
    <t>Tooth Shape Data:</t>
  </si>
  <si>
    <t>Actual Wheel Data:</t>
  </si>
  <si>
    <t>Wheel Blank OD:</t>
  </si>
  <si>
    <t>Nominal Outside Diameter:</t>
  </si>
  <si>
    <t>Nominal Pitch Circle Diameter:</t>
  </si>
  <si>
    <t>Nominal Root Diameter:</t>
  </si>
  <si>
    <t>Actual Pitch Circle Diameter:</t>
  </si>
  <si>
    <t>Actual Wheel Blank OD:</t>
  </si>
  <si>
    <t>Feed out with top slide - L:</t>
  </si>
  <si>
    <t>Tip width of cutter - w:</t>
  </si>
  <si>
    <t>Addendum Radius - R :</t>
  </si>
  <si>
    <t>Actual Root Diameter:</t>
  </si>
  <si>
    <t xml:space="preserve">Number of Teeth - T:  </t>
  </si>
  <si>
    <r>
      <t xml:space="preserve">Angle of top slide - </t>
    </r>
    <r>
      <rPr>
        <b/>
        <sz val="11"/>
        <color theme="0"/>
        <rFont val="Calibri"/>
        <family val="2"/>
      </rPr>
      <t>θ:</t>
    </r>
  </si>
  <si>
    <t>BaseCircle * sin ( "PressureAngle" + ( "PitchAngle" / 4 ) )</t>
  </si>
  <si>
    <t>PitchCircle * sin ( "PressureAngle" )</t>
  </si>
  <si>
    <t>360 / "NumTeeth"</t>
  </si>
  <si>
    <t>"PitchCircle" * cos ( "PressureAngle" )</t>
  </si>
  <si>
    <t>PitchCircle - ( 2 * "Dedendum" )</t>
  </si>
  <si>
    <t>PitchCircle + ( 2 * "Addendum" )</t>
  </si>
  <si>
    <t>( "NumTeeth" + 2 ) / "DiametralPitch"</t>
  </si>
  <si>
    <t>NumTeeth / "DiametralPitch"</t>
  </si>
  <si>
    <t>pi / "DiametralPitch"</t>
  </si>
  <si>
    <t>pi /2* "DiametralPitch"</t>
  </si>
  <si>
    <t>2 / "DiametralPitch"</t>
  </si>
  <si>
    <t>1 / "DiametralPitch"</t>
  </si>
  <si>
    <t>Required Input</t>
  </si>
  <si>
    <t>Diametral Pitch</t>
  </si>
  <si>
    <t>"T" Tooth Cycloidal Wheel</t>
  </si>
  <si>
    <t>"t" Leaf Cycloidal Pinion</t>
  </si>
  <si>
    <t>Button Diameter - D:</t>
  </si>
  <si>
    <t>Button Center Distance - C:</t>
  </si>
  <si>
    <t>( "ButtonDiameter" / 2 ) - ( ( "DedendumCircle" / 2 ) - ( "BaseCircle" * cos ( "PressureAngle" + ( "PitchAngle" / 4 ) ) / 2 ) )</t>
  </si>
  <si>
    <t>Button Diameter D:</t>
  </si>
  <si>
    <t>Module - M:</t>
  </si>
  <si>
    <t>Number Of Teeth  - T:</t>
  </si>
  <si>
    <t>Pinion Blank OD:</t>
  </si>
  <si>
    <t>Gear Shape Data:</t>
  </si>
  <si>
    <t>DP</t>
  </si>
  <si>
    <t>Module</t>
  </si>
  <si>
    <t>List Items:</t>
  </si>
  <si>
    <t>Gear System:</t>
  </si>
  <si>
    <t>Module:</t>
  </si>
  <si>
    <t>Inch</t>
  </si>
  <si>
    <t>)</t>
  </si>
  <si>
    <r>
      <t xml:space="preserve">       </t>
    </r>
    <r>
      <rPr>
        <sz val="11"/>
        <color theme="0"/>
        <rFont val="Calibri"/>
        <family val="2"/>
        <scheme val="minor"/>
      </rPr>
      <t xml:space="preserve"> )</t>
    </r>
    <r>
      <rPr>
        <b/>
        <sz val="11"/>
        <color theme="0"/>
        <rFont val="Calibri"/>
        <family val="2"/>
        <scheme val="minor"/>
      </rPr>
      <t xml:space="preserve">         Pressure Angle - Φ:</t>
    </r>
  </si>
  <si>
    <t>Based on BS 978 Pt 2, with the nominal 45 tooth/7 leaf gear mesh</t>
  </si>
  <si>
    <t>Based on BS 978 Pt 2</t>
  </si>
  <si>
    <t xml:space="preserve">           (from 6 to 16)       </t>
  </si>
  <si>
    <t>Clearance f:</t>
  </si>
  <si>
    <t>2 * [OD/2 * sin ("PitchAngle/2")]</t>
  </si>
  <si>
    <t>(2+"Clearance") / "DiametralPitch"</t>
  </si>
  <si>
    <t>(2+"Clearance")  / "DiametralPitch"</t>
  </si>
  <si>
    <t>(1+"Clearance")  / "DiametralPitch"</t>
  </si>
  <si>
    <t>"Clearance"/ "DiametralPitch"</t>
  </si>
  <si>
    <t>based on the nominal 45 tooth/7 leaf gear pair adopted by PP Thornton.</t>
  </si>
  <si>
    <t>Feed in from side touch off to locate single button - s:</t>
  </si>
  <si>
    <t>Minimum Cutter Blank Thickness m:</t>
  </si>
  <si>
    <r>
      <t xml:space="preserve">Infeed when </t>
    </r>
    <r>
      <rPr>
        <i/>
        <sz val="11"/>
        <color theme="1"/>
        <rFont val="Calibri"/>
        <family val="2"/>
        <scheme val="minor"/>
      </rPr>
      <t>using</t>
    </r>
    <r>
      <rPr>
        <sz val="11"/>
        <color theme="1"/>
        <rFont val="Calibri"/>
        <family val="2"/>
        <scheme val="minor"/>
      </rPr>
      <t xml:space="preserve"> this cutter D'+f:</t>
    </r>
  </si>
  <si>
    <t>Button Diameter:</t>
  </si>
  <si>
    <t>Button Center Distance:</t>
  </si>
  <si>
    <t>Pitch Angle:</t>
  </si>
  <si>
    <t>BaseCircle:</t>
  </si>
  <si>
    <t>Dedendum Circle:</t>
  </si>
  <si>
    <t>Addendum Circle:</t>
  </si>
  <si>
    <t>Pitch Circle:</t>
  </si>
  <si>
    <t>Circular Pitch:</t>
  </si>
  <si>
    <t>Tooth Thickness:</t>
  </si>
  <si>
    <t>Clearance:</t>
  </si>
  <si>
    <t>Whole Depth:</t>
  </si>
  <si>
    <t>Working Depth:</t>
  </si>
  <si>
    <t>Pressure Angle:</t>
  </si>
  <si>
    <t>Number Of Teeth:</t>
  </si>
  <si>
    <t>Diametral Pitch:</t>
  </si>
  <si>
    <t>Cutter positioning diameter - d:</t>
  </si>
  <si>
    <t xml:space="preserve">Required Input </t>
  </si>
  <si>
    <t>(Note: its always 45 teeth…)</t>
  </si>
  <si>
    <t>(simple scale ratio used)</t>
  </si>
  <si>
    <t>based on the actual tooth number, only sets the actual blank OD and acrual Root diameter.</t>
  </si>
  <si>
    <t>Rod stock fly cutter minimum diameter - d:</t>
  </si>
  <si>
    <t>Actual Cutter Blank Thickness - B:</t>
  </si>
  <si>
    <t>X axis In Feed to Form This Cutter:</t>
  </si>
  <si>
    <t>Optimum Cutter thickness - o:</t>
  </si>
  <si>
    <r>
      <t xml:space="preserve"> Infeed when u</t>
    </r>
    <r>
      <rPr>
        <b/>
        <i/>
        <sz val="11"/>
        <color theme="0"/>
        <rFont val="Calibri"/>
        <family val="2"/>
        <scheme val="minor"/>
      </rPr>
      <t>sing</t>
    </r>
    <r>
      <rPr>
        <b/>
        <sz val="11"/>
        <color theme="0"/>
        <rFont val="Calibri"/>
        <family val="2"/>
        <scheme val="minor"/>
      </rPr>
      <t xml:space="preserve"> this cutter (D'+f):</t>
    </r>
  </si>
  <si>
    <t>Distance from side touch-off to locate single button - s:</t>
  </si>
  <si>
    <t>Number of Teeth - N:</t>
  </si>
  <si>
    <t>"N" Tooth Involute Gears &amp; Pinions</t>
  </si>
  <si>
    <t>Involute Rack</t>
  </si>
  <si>
    <t>Tooth Pitch</t>
  </si>
  <si>
    <t>Linear Pitch:</t>
  </si>
  <si>
    <t>("Cutter Blank Width"/2) - ("Button Ctr Dist. - Button Diameter"/2)</t>
  </si>
  <si>
    <t>Feed in from side touch off - s:</t>
  </si>
  <si>
    <t>Rack Linear Pitch:</t>
  </si>
  <si>
    <t xml:space="preserve">   Pressure Angle - Φ:</t>
  </si>
  <si>
    <t>Distance from side touch-off to locate single button cutter - s:</t>
  </si>
  <si>
    <t>Distance from side touch-off to locate knife tool - s:</t>
  </si>
  <si>
    <r>
      <rPr>
        <sz val="11"/>
        <color theme="0"/>
        <rFont val="Calibri"/>
        <family val="2"/>
        <scheme val="minor"/>
      </rPr>
      <t>(</t>
    </r>
    <r>
      <rPr>
        <b/>
        <sz val="11"/>
        <color theme="0"/>
        <rFont val="Calibri"/>
        <family val="2"/>
        <scheme val="minor"/>
      </rPr>
      <t>Rack Linear Pitch:</t>
    </r>
  </si>
  <si>
    <t xml:space="preserve">  (&gt;=17 up to Rack)</t>
  </si>
  <si>
    <t>Final cutter tooth tip width - w:</t>
  </si>
  <si>
    <t>Fillet Radius:</t>
  </si>
  <si>
    <t>Fillet Radius r:</t>
  </si>
  <si>
    <t>"Clearance" + ("Clearance" * Tan("Pressure Angle")/Tan((90-"Pressure Angle")/2))</t>
  </si>
  <si>
    <t>Cutter Tip Width w:</t>
  </si>
  <si>
    <t>(For round bottom cutters)</t>
  </si>
  <si>
    <t>Optimum Cutter Blank Thickness o:</t>
  </si>
  <si>
    <t>Top slide infeed to form cutter - L:</t>
  </si>
  <si>
    <t xml:space="preserve">Top slide infeed to form cutter </t>
  </si>
  <si>
    <t>Cross slide infeed to form this cutter - 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</si>
</sst>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i/>
      <u/>
      <sz val="9"/>
      <color indexed="81"/>
      <name val="Tahoma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b/>
      <i/>
      <u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right"/>
    </xf>
    <xf numFmtId="2" fontId="0" fillId="0" borderId="0" xfId="0" applyNumberFormat="1" applyProtection="1"/>
    <xf numFmtId="164" fontId="0" fillId="0" borderId="0" xfId="0" applyNumberFormat="1" applyProtection="1"/>
    <xf numFmtId="2" fontId="0" fillId="0" borderId="0" xfId="0" applyNumberForma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164" fontId="0" fillId="0" borderId="0" xfId="0" applyNumberFormat="1" applyAlignment="1" applyProtection="1">
      <alignment horizontal="right"/>
    </xf>
    <xf numFmtId="165" fontId="0" fillId="0" borderId="0" xfId="0" applyNumberFormat="1" applyProtection="1"/>
    <xf numFmtId="1" fontId="0" fillId="0" borderId="0" xfId="0" applyNumberFormat="1" applyProtection="1"/>
    <xf numFmtId="166" fontId="0" fillId="0" borderId="0" xfId="0" applyNumberFormat="1" applyProtection="1"/>
    <xf numFmtId="0" fontId="7" fillId="0" borderId="0" xfId="1" applyAlignment="1" applyProtection="1"/>
    <xf numFmtId="1" fontId="8" fillId="0" borderId="1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7" fillId="0" borderId="0" xfId="1" applyBorder="1" applyAlignment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164" fontId="8" fillId="0" borderId="1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Protection="1"/>
    <xf numFmtId="0" fontId="3" fillId="3" borderId="4" xfId="0" applyFont="1" applyFill="1" applyBorder="1" applyProtection="1"/>
    <xf numFmtId="0" fontId="3" fillId="3" borderId="5" xfId="0" applyFont="1" applyFill="1" applyBorder="1" applyProtection="1"/>
    <xf numFmtId="0" fontId="2" fillId="3" borderId="6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0" fontId="3" fillId="3" borderId="7" xfId="0" applyFont="1" applyFill="1" applyBorder="1" applyProtection="1"/>
    <xf numFmtId="0" fontId="3" fillId="3" borderId="6" xfId="0" applyFont="1" applyFill="1" applyBorder="1" applyAlignment="1" applyProtection="1">
      <alignment horizontal="center"/>
    </xf>
    <xf numFmtId="2" fontId="3" fillId="3" borderId="0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Protection="1"/>
    <xf numFmtId="0" fontId="3" fillId="3" borderId="6" xfId="0" applyFont="1" applyFill="1" applyBorder="1" applyProtection="1"/>
    <xf numFmtId="166" fontId="3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</xf>
    <xf numFmtId="0" fontId="10" fillId="0" borderId="0" xfId="0" applyFont="1" applyProtection="1"/>
    <xf numFmtId="0" fontId="0" fillId="3" borderId="0" xfId="0" applyFill="1" applyBorder="1" applyProtection="1"/>
    <xf numFmtId="0" fontId="0" fillId="3" borderId="6" xfId="0" applyFill="1" applyBorder="1" applyProtection="1"/>
    <xf numFmtId="0" fontId="3" fillId="3" borderId="8" xfId="0" applyFont="1" applyFill="1" applyBorder="1" applyProtection="1"/>
    <xf numFmtId="0" fontId="3" fillId="3" borderId="9" xfId="0" applyFont="1" applyFill="1" applyBorder="1" applyProtection="1"/>
    <xf numFmtId="0" fontId="3" fillId="3" borderId="10" xfId="0" applyFont="1" applyFill="1" applyBorder="1" applyProtection="1"/>
    <xf numFmtId="0" fontId="0" fillId="0" borderId="0" xfId="0" applyAlignment="1" applyProtection="1"/>
    <xf numFmtId="0" fontId="0" fillId="0" borderId="0" xfId="0" applyFont="1" applyAlignment="1" applyProtection="1">
      <alignment horizontal="right"/>
    </xf>
    <xf numFmtId="0" fontId="0" fillId="0" borderId="0" xfId="0" applyFont="1" applyProtection="1"/>
    <xf numFmtId="1" fontId="8" fillId="0" borderId="2" xfId="0" applyNumberFormat="1" applyFont="1" applyFill="1" applyBorder="1" applyAlignment="1" applyProtection="1">
      <alignment horizontal="center"/>
      <protection locked="0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0" fillId="3" borderId="4" xfId="0" applyFill="1" applyBorder="1" applyProtection="1"/>
    <xf numFmtId="0" fontId="8" fillId="0" borderId="0" xfId="0" applyFont="1" applyFill="1" applyBorder="1" applyProtection="1"/>
    <xf numFmtId="164" fontId="0" fillId="0" borderId="0" xfId="0" applyNumberFormat="1" applyFont="1" applyProtection="1"/>
    <xf numFmtId="164" fontId="3" fillId="3" borderId="0" xfId="0" applyNumberFormat="1" applyFont="1" applyFill="1" applyBorder="1" applyProtection="1"/>
    <xf numFmtId="164" fontId="3" fillId="3" borderId="0" xfId="0" applyNumberFormat="1" applyFont="1" applyFill="1" applyBorder="1" applyAlignment="1" applyProtection="1">
      <alignment horizontal="right"/>
    </xf>
    <xf numFmtId="164" fontId="3" fillId="3" borderId="0" xfId="0" applyNumberFormat="1" applyFont="1" applyFill="1" applyProtection="1"/>
    <xf numFmtId="0" fontId="0" fillId="0" borderId="0" xfId="0" applyProtection="1">
      <protection locked="0"/>
    </xf>
    <xf numFmtId="164" fontId="3" fillId="3" borderId="0" xfId="0" applyNumberFormat="1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right"/>
    </xf>
    <xf numFmtId="17" fontId="3" fillId="3" borderId="0" xfId="0" applyNumberFormat="1" applyFont="1" applyFill="1" applyBorder="1" applyAlignment="1" applyProtection="1">
      <alignment horizont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/>
    <xf numFmtId="0" fontId="3" fillId="0" borderId="7" xfId="0" applyFont="1" applyFill="1" applyBorder="1" applyProtection="1"/>
    <xf numFmtId="0" fontId="3" fillId="0" borderId="6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0" fontId="0" fillId="0" borderId="15" xfId="0" applyBorder="1" applyProtection="1"/>
    <xf numFmtId="164" fontId="2" fillId="3" borderId="0" xfId="0" applyNumberFormat="1" applyFont="1" applyFill="1" applyBorder="1" applyAlignment="1" applyProtection="1">
      <alignment horizontal="right"/>
    </xf>
    <xf numFmtId="2" fontId="8" fillId="3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3" fillId="4" borderId="0" xfId="0" applyFont="1" applyFill="1" applyBorder="1" applyProtection="1"/>
    <xf numFmtId="0" fontId="3" fillId="4" borderId="7" xfId="0" applyFont="1" applyFill="1" applyBorder="1" applyProtection="1"/>
    <xf numFmtId="0" fontId="0" fillId="4" borderId="6" xfId="0" applyFill="1" applyBorder="1" applyProtection="1"/>
    <xf numFmtId="0" fontId="0" fillId="4" borderId="0" xfId="0" applyFill="1" applyBorder="1" applyProtection="1"/>
    <xf numFmtId="0" fontId="2" fillId="3" borderId="16" xfId="0" applyFont="1" applyFill="1" applyBorder="1" applyAlignment="1" applyProtection="1">
      <alignment horizontal="right"/>
    </xf>
    <xf numFmtId="164" fontId="3" fillId="3" borderId="16" xfId="0" applyNumberFormat="1" applyFont="1" applyFill="1" applyBorder="1" applyProtection="1"/>
    <xf numFmtId="0" fontId="3" fillId="3" borderId="17" xfId="0" applyFont="1" applyFill="1" applyBorder="1" applyProtection="1"/>
    <xf numFmtId="0" fontId="0" fillId="0" borderId="0" xfId="0" applyBorder="1" applyAlignment="1"/>
    <xf numFmtId="0" fontId="3" fillId="3" borderId="18" xfId="0" applyFont="1" applyFill="1" applyBorder="1" applyProtection="1"/>
    <xf numFmtId="0" fontId="0" fillId="3" borderId="7" xfId="0" applyFill="1" applyBorder="1" applyProtection="1"/>
    <xf numFmtId="0" fontId="0" fillId="3" borderId="5" xfId="0" applyFill="1" applyBorder="1" applyProtection="1"/>
    <xf numFmtId="0" fontId="3" fillId="3" borderId="0" xfId="0" applyFont="1" applyFill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Protection="1"/>
    <xf numFmtId="0" fontId="0" fillId="3" borderId="9" xfId="0" applyFill="1" applyBorder="1" applyProtection="1"/>
    <xf numFmtId="0" fontId="3" fillId="3" borderId="0" xfId="0" applyFont="1" applyFill="1" applyProtection="1"/>
    <xf numFmtId="0" fontId="3" fillId="3" borderId="0" xfId="0" applyFont="1" applyFill="1" applyAlignment="1" applyProtection="1">
      <alignment horizontal="right"/>
    </xf>
    <xf numFmtId="0" fontId="0" fillId="0" borderId="14" xfId="0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1" fillId="2" borderId="12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/>
    <xf numFmtId="0" fontId="1" fillId="2" borderId="3" xfId="0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1" fillId="2" borderId="12" xfId="0" applyFont="1" applyFill="1" applyBorder="1" applyAlignment="1" applyProtection="1">
      <alignment horizontal="center"/>
    </xf>
    <xf numFmtId="0" fontId="0" fillId="0" borderId="11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hyperlink" Target="http://www.clickspringprojects.com/" TargetMode="External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1.jpeg"/><Relationship Id="rId1" Type="http://schemas.openxmlformats.org/officeDocument/2006/relationships/hyperlink" Target="http://www.clickspringprojects.com/" TargetMode="External"/><Relationship Id="rId4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13</xdr:row>
      <xdr:rowOff>38100</xdr:rowOff>
    </xdr:from>
    <xdr:ext cx="2010508" cy="574221"/>
    <xdr:pic>
      <xdr:nvPicPr>
        <xdr:cNvPr id="5" name="Picture 4" descr="Bumber_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10275" y="2638425"/>
          <a:ext cx="2010508" cy="574221"/>
        </a:xfrm>
        <a:prstGeom prst="rect">
          <a:avLst/>
        </a:prstGeom>
      </xdr:spPr>
    </xdr:pic>
    <xdr:clientData/>
  </xdr:oneCellAnchor>
  <xdr:oneCellAnchor>
    <xdr:from>
      <xdr:col>15</xdr:col>
      <xdr:colOff>142875</xdr:colOff>
      <xdr:row>9</xdr:row>
      <xdr:rowOff>123825</xdr:rowOff>
    </xdr:from>
    <xdr:ext cx="2010508" cy="574221"/>
    <xdr:pic>
      <xdr:nvPicPr>
        <xdr:cNvPr id="4" name="Picture 3" descr="Bumber_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677900" y="1924050"/>
          <a:ext cx="2010508" cy="574221"/>
        </a:xfrm>
        <a:prstGeom prst="rect">
          <a:avLst/>
        </a:prstGeom>
      </xdr:spPr>
    </xdr:pic>
    <xdr:clientData/>
  </xdr:oneCellAnchor>
  <xdr:twoCellAnchor editAs="oneCell">
    <xdr:from>
      <xdr:col>10</xdr:col>
      <xdr:colOff>76199</xdr:colOff>
      <xdr:row>15</xdr:row>
      <xdr:rowOff>12137</xdr:rowOff>
    </xdr:from>
    <xdr:to>
      <xdr:col>17</xdr:col>
      <xdr:colOff>531475</xdr:colOff>
      <xdr:row>40</xdr:row>
      <xdr:rowOff>180975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199" y="3012512"/>
          <a:ext cx="7056101" cy="4950388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17</xdr:row>
      <xdr:rowOff>19051</xdr:rowOff>
    </xdr:from>
    <xdr:to>
      <xdr:col>8</xdr:col>
      <xdr:colOff>291732</xdr:colOff>
      <xdr:row>42</xdr:row>
      <xdr:rowOff>171450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3581401"/>
          <a:ext cx="6616332" cy="4933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114300</xdr:colOff>
      <xdr:row>12</xdr:row>
      <xdr:rowOff>95250</xdr:rowOff>
    </xdr:from>
    <xdr:to>
      <xdr:col>8</xdr:col>
      <xdr:colOff>296008</xdr:colOff>
      <xdr:row>15</xdr:row>
      <xdr:rowOff>69396</xdr:rowOff>
    </xdr:to>
    <xdr:pic>
      <xdr:nvPicPr>
        <xdr:cNvPr id="5" name="Picture 4" descr="Bumber_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29275" y="2495550"/>
          <a:ext cx="2010508" cy="574221"/>
        </a:xfrm>
        <a:prstGeom prst="rect">
          <a:avLst/>
        </a:prstGeom>
      </xdr:spPr>
    </xdr:pic>
    <xdr:clientData/>
  </xdr:twoCellAnchor>
  <xdr:oneCellAnchor>
    <xdr:from>
      <xdr:col>15</xdr:col>
      <xdr:colOff>142875</xdr:colOff>
      <xdr:row>12</xdr:row>
      <xdr:rowOff>0</xdr:rowOff>
    </xdr:from>
    <xdr:ext cx="2009775" cy="571500"/>
    <xdr:pic>
      <xdr:nvPicPr>
        <xdr:cNvPr id="4" name="Picture 3" descr="Bumber_1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287375" y="2400300"/>
          <a:ext cx="2009775" cy="571500"/>
        </a:xfrm>
        <a:prstGeom prst="rect">
          <a:avLst/>
        </a:prstGeom>
      </xdr:spPr>
    </xdr:pic>
    <xdr:clientData/>
  </xdr:oneCellAnchor>
  <xdr:twoCellAnchor editAs="oneCell">
    <xdr:from>
      <xdr:col>1</xdr:col>
      <xdr:colOff>304799</xdr:colOff>
      <xdr:row>16</xdr:row>
      <xdr:rowOff>14693</xdr:rowOff>
    </xdr:from>
    <xdr:to>
      <xdr:col>8</xdr:col>
      <xdr:colOff>323850</xdr:colOff>
      <xdr:row>41</xdr:row>
      <xdr:rowOff>169978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4" y="3215093"/>
          <a:ext cx="6619876" cy="4917785"/>
        </a:xfrm>
        <a:prstGeom prst="rect">
          <a:avLst/>
        </a:prstGeom>
      </xdr:spPr>
    </xdr:pic>
    <xdr:clientData/>
  </xdr:twoCellAnchor>
  <xdr:twoCellAnchor editAs="oneCell">
    <xdr:from>
      <xdr:col>10</xdr:col>
      <xdr:colOff>286701</xdr:colOff>
      <xdr:row>16</xdr:row>
      <xdr:rowOff>9524</xdr:rowOff>
    </xdr:from>
    <xdr:to>
      <xdr:col>17</xdr:col>
      <xdr:colOff>342900</xdr:colOff>
      <xdr:row>41</xdr:row>
      <xdr:rowOff>192406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176" y="3209924"/>
          <a:ext cx="6657024" cy="4945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U94"/>
  <sheetViews>
    <sheetView showGridLines="0" zoomScaleNormal="100" workbookViewId="0">
      <selection activeCell="C4" sqref="C4"/>
    </sheetView>
  </sheetViews>
  <sheetFormatPr defaultRowHeight="15" x14ac:dyDescent="0.25"/>
  <cols>
    <col min="1" max="1" width="11.5703125" style="1" customWidth="1"/>
    <col min="2" max="2" width="20.85546875" style="1" customWidth="1"/>
    <col min="3" max="3" width="7.85546875" style="1" customWidth="1"/>
    <col min="4" max="4" width="27.5703125" style="1" customWidth="1"/>
    <col min="5" max="5" width="8.28515625" style="1" customWidth="1"/>
    <col min="6" max="6" width="7" style="1" customWidth="1"/>
    <col min="7" max="7" width="18.5703125" style="1" customWidth="1"/>
    <col min="8" max="8" width="8.85546875" style="1" customWidth="1"/>
    <col min="9" max="9" width="9.140625" style="1"/>
    <col min="10" max="10" width="5.85546875" style="1" customWidth="1"/>
    <col min="11" max="11" width="20.85546875" style="1" customWidth="1"/>
    <col min="12" max="12" width="7.85546875" style="1" customWidth="1"/>
    <col min="13" max="13" width="27.5703125" style="1" customWidth="1"/>
    <col min="14" max="14" width="8.28515625" style="1" customWidth="1"/>
    <col min="15" max="15" width="7" style="1" customWidth="1"/>
    <col min="16" max="16" width="18.5703125" style="1" customWidth="1"/>
    <col min="17" max="17" width="8.85546875" style="1" customWidth="1"/>
    <col min="18" max="16384" width="9.140625" style="1"/>
  </cols>
  <sheetData>
    <row r="1" spans="2:18" ht="15.75" customHeight="1" thickBot="1" x14ac:dyDescent="0.3"/>
    <row r="2" spans="2:18" ht="15.75" customHeight="1" thickBot="1" x14ac:dyDescent="0.3">
      <c r="B2" s="92" t="s">
        <v>111</v>
      </c>
      <c r="C2" s="93"/>
      <c r="D2" s="94"/>
      <c r="K2" s="95" t="s">
        <v>112</v>
      </c>
      <c r="L2" s="96"/>
      <c r="M2" s="79"/>
    </row>
    <row r="3" spans="2:18" ht="15.75" customHeight="1" thickBot="1" x14ac:dyDescent="0.3">
      <c r="B3" s="25"/>
      <c r="C3" s="26"/>
      <c r="D3" s="26"/>
      <c r="E3" s="26"/>
      <c r="F3" s="26"/>
      <c r="G3" s="26"/>
      <c r="H3" s="26"/>
      <c r="I3" s="27"/>
      <c r="K3" s="25"/>
      <c r="L3" s="26"/>
      <c r="M3" s="80"/>
      <c r="N3" s="26"/>
      <c r="O3" s="26"/>
      <c r="P3" s="26"/>
      <c r="Q3" s="26"/>
      <c r="R3" s="27"/>
    </row>
    <row r="4" spans="2:18" ht="15.75" customHeight="1" thickBot="1" x14ac:dyDescent="0.3">
      <c r="B4" s="28" t="s">
        <v>66</v>
      </c>
      <c r="C4" s="71" t="s">
        <v>64</v>
      </c>
      <c r="D4" s="28" t="str">
        <f>IF(C4="DP", "Diametral Pitch - DP:","Module - M:")</f>
        <v>Module - M:</v>
      </c>
      <c r="E4" s="24">
        <v>0.8</v>
      </c>
      <c r="F4" s="41"/>
      <c r="G4" s="29" t="s">
        <v>110</v>
      </c>
      <c r="H4" s="49">
        <v>45</v>
      </c>
      <c r="I4" s="31"/>
      <c r="K4" s="28" t="s">
        <v>66</v>
      </c>
      <c r="L4" s="71" t="s">
        <v>64</v>
      </c>
      <c r="M4" s="28" t="str">
        <f>IF(L4="DP", "Diametral Pitch - DP:","Module - M:")</f>
        <v>Module - M:</v>
      </c>
      <c r="N4" s="24">
        <v>0.8</v>
      </c>
      <c r="O4" s="51"/>
      <c r="P4" s="29" t="s">
        <v>118</v>
      </c>
      <c r="Q4" s="50">
        <v>20</v>
      </c>
      <c r="R4" s="31" t="s">
        <v>18</v>
      </c>
    </row>
    <row r="5" spans="2:18" ht="15.75" customHeight="1" thickBot="1" x14ac:dyDescent="0.3">
      <c r="B5" s="42"/>
      <c r="C5" s="33"/>
      <c r="D5" s="34" t="str">
        <f>IF(C4="DP", "(Equal to Module of:","(Equal to DP of:")</f>
        <v>(Equal to DP of:</v>
      </c>
      <c r="E5" s="59">
        <f>IF(C4="DP", E47,E48)</f>
        <v>31.749999999999996</v>
      </c>
      <c r="F5" s="30"/>
      <c r="G5" s="29" t="s">
        <v>70</v>
      </c>
      <c r="H5" s="50">
        <v>20</v>
      </c>
      <c r="I5" s="31" t="s">
        <v>18</v>
      </c>
      <c r="K5" s="42"/>
      <c r="L5" s="33"/>
      <c r="M5" s="34" t="str">
        <f>IF(L4="DP", "(Equal to Module of:","(Equal to DP of:")</f>
        <v>(Equal to DP of:</v>
      </c>
      <c r="N5" s="59">
        <f>IF(L4="DP", Q47,Q48)</f>
        <v>31.749999999999996</v>
      </c>
      <c r="O5" s="30" t="s">
        <v>69</v>
      </c>
      <c r="P5" s="29" t="s">
        <v>74</v>
      </c>
      <c r="Q5" s="62">
        <v>0.25</v>
      </c>
      <c r="R5" s="31"/>
    </row>
    <row r="6" spans="2:18" ht="15.75" customHeight="1" thickBot="1" x14ac:dyDescent="0.3">
      <c r="B6" s="42"/>
      <c r="C6" s="33"/>
      <c r="D6" s="41"/>
      <c r="E6" s="41"/>
      <c r="F6" s="41"/>
      <c r="G6" s="29" t="s">
        <v>74</v>
      </c>
      <c r="H6" s="62">
        <v>0.25</v>
      </c>
      <c r="I6" s="31"/>
      <c r="K6" s="42"/>
      <c r="L6" s="33"/>
      <c r="M6" s="41"/>
      <c r="N6" s="41"/>
      <c r="O6" s="41"/>
      <c r="P6" s="41"/>
      <c r="Q6" s="41"/>
      <c r="R6" s="81"/>
    </row>
    <row r="7" spans="2:18" ht="15.75" customHeight="1" thickBot="1" x14ac:dyDescent="0.3">
      <c r="B7" s="42"/>
      <c r="C7" s="33"/>
      <c r="D7" s="41"/>
      <c r="E7" s="41"/>
      <c r="F7" s="41"/>
      <c r="G7" s="29"/>
      <c r="H7" s="29"/>
      <c r="I7" s="31"/>
      <c r="K7" s="42"/>
      <c r="L7" s="33"/>
      <c r="M7" s="29" t="s">
        <v>107</v>
      </c>
      <c r="N7" s="56">
        <f>IF(L4="DP", Q71,Q71*25.4)</f>
        <v>2.5132720000000002</v>
      </c>
      <c r="O7" s="30" t="str">
        <f>IF(L4="DP", "Inch","mm")</f>
        <v>mm</v>
      </c>
      <c r="P7" s="29" t="s">
        <v>125</v>
      </c>
      <c r="Q7" s="56">
        <f>IF(L4="DP", Q73,Q73*25.4)</f>
        <v>0.30396067291614753</v>
      </c>
      <c r="R7" s="30" t="str">
        <f>IF(L4="DP", "Inch","mm")</f>
        <v>mm</v>
      </c>
    </row>
    <row r="8" spans="2:18" ht="15.75" customHeight="1" thickBot="1" x14ac:dyDescent="0.3">
      <c r="B8" s="42"/>
      <c r="C8" s="33"/>
      <c r="D8" s="29" t="s">
        <v>107</v>
      </c>
      <c r="E8" s="56">
        <f>IF(C4="DP", E71,E71*25.4)</f>
        <v>2.6228434127791114</v>
      </c>
      <c r="F8" s="30" t="str">
        <f>IF(C4="DP", "Inch","mm")</f>
        <v>mm</v>
      </c>
      <c r="G8" s="29" t="s">
        <v>125</v>
      </c>
      <c r="H8" s="56">
        <f>IF(C4="DP", E73,E73*25.4)</f>
        <v>0.30396067291614753</v>
      </c>
      <c r="I8" s="31" t="str">
        <f>IF(C4="DP", "Inch","mm")</f>
        <v>mm</v>
      </c>
      <c r="K8" s="34"/>
      <c r="L8" s="35"/>
      <c r="M8" s="29" t="s">
        <v>105</v>
      </c>
      <c r="N8" s="50">
        <f>N7</f>
        <v>2.5132720000000002</v>
      </c>
      <c r="O8" s="30" t="str">
        <f>IF(L4="DP", "Inch","mm")</f>
        <v>mm</v>
      </c>
      <c r="P8" s="51"/>
      <c r="Q8" s="89"/>
      <c r="R8" s="51"/>
    </row>
    <row r="9" spans="2:18" ht="15.75" customHeight="1" thickBot="1" x14ac:dyDescent="0.3">
      <c r="B9" s="34"/>
      <c r="C9" s="35"/>
      <c r="D9" s="29" t="s">
        <v>105</v>
      </c>
      <c r="E9" s="50">
        <f>E8</f>
        <v>2.6228434127791114</v>
      </c>
      <c r="F9" s="30" t="str">
        <f>IF(C4="DP", "Inch","mm")</f>
        <v>mm</v>
      </c>
      <c r="G9" s="51"/>
      <c r="H9" s="89"/>
      <c r="I9" s="51"/>
      <c r="K9" s="34"/>
      <c r="L9" s="35"/>
      <c r="M9" s="29"/>
      <c r="N9" s="38"/>
      <c r="O9" s="30"/>
      <c r="P9" s="30"/>
      <c r="Q9" s="30"/>
      <c r="R9" s="31"/>
    </row>
    <row r="10" spans="2:18" ht="15.75" customHeight="1" x14ac:dyDescent="0.25">
      <c r="B10" s="34"/>
      <c r="C10" s="35"/>
      <c r="D10" s="29"/>
      <c r="E10" s="70"/>
      <c r="F10" s="30"/>
      <c r="G10" s="35"/>
      <c r="H10" s="30"/>
      <c r="I10" s="31"/>
      <c r="K10" s="42"/>
      <c r="L10" s="41"/>
      <c r="M10" s="29" t="s">
        <v>114</v>
      </c>
      <c r="N10" s="56">
        <f>IF(L4="DP", Q56,Q56*25.4)</f>
        <v>2.5132720000000002</v>
      </c>
      <c r="O10" s="31" t="str">
        <f>IF(L4="DP", "Inch","mm")</f>
        <v>mm</v>
      </c>
      <c r="P10" s="29"/>
      <c r="Q10" s="56"/>
      <c r="R10" s="31"/>
    </row>
    <row r="11" spans="2:18" ht="15.75" customHeight="1" x14ac:dyDescent="0.25">
      <c r="B11" s="34"/>
      <c r="C11" s="35"/>
      <c r="D11" s="29" t="s">
        <v>55</v>
      </c>
      <c r="E11" s="55">
        <f>IF(C4="DP", E67,E67*25.4)</f>
        <v>12.312725159724074</v>
      </c>
      <c r="F11" s="30" t="str">
        <f>IF(C4="DP", "Inch","mm")</f>
        <v>mm</v>
      </c>
      <c r="G11" s="29" t="s">
        <v>27</v>
      </c>
      <c r="H11" s="56">
        <f>IF(C4="DP", E59,E59*25.4)</f>
        <v>37.6</v>
      </c>
      <c r="I11" s="31" t="str">
        <f>IF(C4="DP", "Inch","mm")</f>
        <v>mm</v>
      </c>
      <c r="K11" s="42"/>
      <c r="L11" s="41"/>
      <c r="M11" s="29" t="s">
        <v>38</v>
      </c>
      <c r="N11" s="38">
        <f>Q49</f>
        <v>20</v>
      </c>
      <c r="O11" s="30" t="s">
        <v>18</v>
      </c>
      <c r="P11" s="29"/>
      <c r="Q11" s="56"/>
      <c r="R11" s="31"/>
    </row>
    <row r="12" spans="2:18" ht="15.75" customHeight="1" x14ac:dyDescent="0.25">
      <c r="B12" s="37"/>
      <c r="C12" s="30"/>
      <c r="D12" s="29" t="s">
        <v>56</v>
      </c>
      <c r="E12" s="56">
        <f>IF(C4="DP", E68,E68*25.4)</f>
        <v>12.672541855104466</v>
      </c>
      <c r="F12" s="30" t="str">
        <f>IF(C4="DP", "Inch","mm")</f>
        <v>mm</v>
      </c>
      <c r="G12" s="29" t="s">
        <v>8</v>
      </c>
      <c r="H12" s="55">
        <f>IF(C4="DP", E61,E61*25.4)</f>
        <v>34</v>
      </c>
      <c r="I12" s="31" t="str">
        <f>IF(C4="DP","Inch","mm")</f>
        <v>mm</v>
      </c>
      <c r="K12" s="34"/>
      <c r="L12" s="35"/>
      <c r="M12" s="29" t="s">
        <v>120</v>
      </c>
      <c r="N12" s="56">
        <f>IF(L4="DP", Q72,S72)</f>
        <v>0.99228823426620238</v>
      </c>
      <c r="O12" s="30" t="str">
        <f>IF(L4="DP", "Inch","mm")</f>
        <v>mm</v>
      </c>
      <c r="P12" s="29"/>
      <c r="Q12" s="55"/>
      <c r="R12" s="31"/>
    </row>
    <row r="13" spans="2:18" ht="15.75" customHeight="1" thickBot="1" x14ac:dyDescent="0.3">
      <c r="B13" s="37"/>
      <c r="C13" s="30"/>
      <c r="D13" s="29" t="s">
        <v>119</v>
      </c>
      <c r="E13" s="56">
        <f>IF(C4="DP", E72,G72)</f>
        <v>1.1315133586993598</v>
      </c>
      <c r="F13" s="30" t="str">
        <f>IF(C4="DP", "Inch","mm")</f>
        <v>mm</v>
      </c>
      <c r="G13" s="29"/>
      <c r="H13" s="55"/>
      <c r="I13" s="31"/>
      <c r="K13" s="37"/>
      <c r="L13" s="30"/>
      <c r="M13" s="29" t="s">
        <v>108</v>
      </c>
      <c r="N13" s="55">
        <f>IF(L4="DP", Q70,Q70*25.4)</f>
        <v>1.8000000000000003</v>
      </c>
      <c r="O13" s="30" t="str">
        <f>IF(L4="DP", "Inch","mm")</f>
        <v>mm</v>
      </c>
      <c r="P13" s="76"/>
      <c r="Q13" s="77"/>
      <c r="R13" s="78"/>
    </row>
    <row r="14" spans="2:18" ht="15.75" customHeight="1" x14ac:dyDescent="0.25">
      <c r="B14" s="37"/>
      <c r="C14" s="30"/>
      <c r="D14" s="29" t="s">
        <v>132</v>
      </c>
      <c r="E14" s="56">
        <f>IF(C4="DP", E69,E69*25.4)</f>
        <v>4.8391834523304498</v>
      </c>
      <c r="F14" s="30" t="str">
        <f>IF(C4="DP", "Inch","mm")</f>
        <v>mm</v>
      </c>
      <c r="G14" s="41"/>
      <c r="H14" s="41"/>
      <c r="I14" s="81"/>
      <c r="K14" s="37"/>
      <c r="L14" s="41"/>
      <c r="M14" s="29" t="s">
        <v>127</v>
      </c>
      <c r="N14" s="55">
        <f>IF(L4="DP", Q74,Q74*25.4)</f>
        <v>0.52869553146759518</v>
      </c>
      <c r="O14" s="30" t="str">
        <f>IF(L4="DP", "Inch","mm")</f>
        <v>mm</v>
      </c>
      <c r="P14" s="52"/>
      <c r="Q14" s="52"/>
      <c r="R14" s="82"/>
    </row>
    <row r="15" spans="2:18" ht="15.75" customHeight="1" x14ac:dyDescent="0.25">
      <c r="B15" s="37"/>
      <c r="C15" s="41"/>
      <c r="D15" s="29" t="s">
        <v>108</v>
      </c>
      <c r="E15" s="55">
        <f>IF(C4="DP", E70,E70*25.4)</f>
        <v>1.8000000000000003</v>
      </c>
      <c r="F15" s="30" t="str">
        <f>IF(C4="DP", "Inch","mm")</f>
        <v>mm</v>
      </c>
      <c r="G15" s="30"/>
      <c r="H15" s="30"/>
      <c r="I15" s="31"/>
      <c r="K15" s="37"/>
      <c r="L15" s="30"/>
      <c r="M15" s="29"/>
      <c r="N15" s="56"/>
      <c r="O15" s="30"/>
      <c r="P15" s="41"/>
      <c r="Q15" s="41"/>
      <c r="R15" s="81"/>
    </row>
    <row r="16" spans="2:18" ht="15.75" customHeight="1" x14ac:dyDescent="0.25">
      <c r="B16" s="42"/>
      <c r="C16" s="41"/>
      <c r="D16" s="29" t="s">
        <v>127</v>
      </c>
      <c r="E16" s="56">
        <f>IF(C4="DP", E74,E74*25.4)</f>
        <v>0.64359942399999992</v>
      </c>
      <c r="F16" s="31" t="str">
        <f>IF(C2="DP", "Inch","mm")</f>
        <v>mm</v>
      </c>
      <c r="G16" s="41"/>
      <c r="H16" s="41"/>
      <c r="I16" s="81"/>
      <c r="K16" s="74"/>
      <c r="L16" s="75"/>
      <c r="M16" s="75"/>
      <c r="N16" s="75"/>
      <c r="O16" s="75"/>
      <c r="P16" s="72"/>
      <c r="Q16" s="72"/>
      <c r="R16" s="73"/>
    </row>
    <row r="17" spans="1:18" ht="15.75" customHeight="1" thickBot="1" x14ac:dyDescent="0.3">
      <c r="A17" s="18"/>
      <c r="B17" s="86"/>
      <c r="C17" s="87"/>
      <c r="D17" s="87"/>
      <c r="E17" s="87"/>
      <c r="F17" s="87"/>
      <c r="G17" s="44"/>
      <c r="H17" s="44"/>
      <c r="I17" s="45"/>
      <c r="K17" s="74"/>
      <c r="L17" s="75"/>
      <c r="M17" s="75"/>
      <c r="N17" s="75"/>
      <c r="O17" s="75"/>
      <c r="P17" s="72"/>
      <c r="Q17" s="72"/>
      <c r="R17" s="73"/>
    </row>
    <row r="18" spans="1:18" x14ac:dyDescent="0.25">
      <c r="B18" s="65"/>
      <c r="C18" s="63"/>
      <c r="D18" s="66"/>
      <c r="E18" s="67"/>
      <c r="F18" s="63"/>
      <c r="G18" s="63"/>
      <c r="H18" s="63"/>
      <c r="I18" s="64"/>
      <c r="K18" s="65"/>
      <c r="L18" s="63"/>
      <c r="M18" s="66"/>
      <c r="N18" s="67"/>
      <c r="O18" s="63"/>
      <c r="P18" s="63"/>
      <c r="Q18" s="63"/>
      <c r="R18" s="64"/>
    </row>
    <row r="19" spans="1:18" x14ac:dyDescent="0.25">
      <c r="A19" s="19"/>
      <c r="B19" s="63"/>
      <c r="C19" s="63"/>
      <c r="D19" s="63"/>
      <c r="E19" s="63"/>
      <c r="F19" s="63"/>
      <c r="G19" s="63"/>
      <c r="H19" s="63"/>
      <c r="I19" s="64"/>
      <c r="K19" s="65"/>
      <c r="L19" s="63"/>
      <c r="M19" s="63"/>
      <c r="N19" s="63"/>
      <c r="O19" s="63"/>
      <c r="P19" s="63"/>
      <c r="Q19" s="63"/>
      <c r="R19" s="64"/>
    </row>
    <row r="20" spans="1:18" x14ac:dyDescent="0.25">
      <c r="B20" s="17"/>
      <c r="C20" s="18"/>
      <c r="D20" s="18"/>
      <c r="E20" s="18"/>
      <c r="F20" s="18"/>
      <c r="G20" s="18"/>
      <c r="H20" s="18"/>
      <c r="I20" s="19"/>
      <c r="K20" s="17"/>
      <c r="L20" s="18"/>
      <c r="M20" s="18"/>
      <c r="N20" s="18"/>
      <c r="O20" s="18"/>
      <c r="P20" s="18"/>
      <c r="Q20" s="18"/>
      <c r="R20" s="19"/>
    </row>
    <row r="21" spans="1:18" x14ac:dyDescent="0.25">
      <c r="B21" s="17"/>
      <c r="C21" s="18"/>
      <c r="D21" s="18"/>
      <c r="E21" s="18"/>
      <c r="F21" s="18"/>
      <c r="G21" s="18"/>
      <c r="H21" s="18"/>
      <c r="I21" s="19"/>
      <c r="K21" s="17"/>
      <c r="L21" s="18"/>
      <c r="M21" s="18"/>
      <c r="N21" s="18"/>
      <c r="O21" s="18"/>
      <c r="P21" s="18"/>
      <c r="Q21" s="18"/>
      <c r="R21" s="19"/>
    </row>
    <row r="22" spans="1:18" x14ac:dyDescent="0.25">
      <c r="B22" s="17"/>
      <c r="C22" s="18"/>
      <c r="D22" s="18"/>
      <c r="E22" s="18"/>
      <c r="F22" s="18"/>
      <c r="G22" s="18"/>
      <c r="H22" s="18"/>
      <c r="I22" s="19"/>
      <c r="K22" s="17"/>
      <c r="L22" s="18"/>
      <c r="M22" s="18"/>
      <c r="N22" s="18"/>
      <c r="O22" s="18"/>
      <c r="P22" s="18"/>
      <c r="Q22" s="18"/>
      <c r="R22" s="19"/>
    </row>
    <row r="23" spans="1:18" x14ac:dyDescent="0.25">
      <c r="B23" s="17"/>
      <c r="C23" s="18"/>
      <c r="D23" s="18"/>
      <c r="E23" s="18"/>
      <c r="F23" s="18"/>
      <c r="G23" s="18"/>
      <c r="H23" s="18"/>
      <c r="I23" s="19"/>
      <c r="K23" s="17"/>
      <c r="L23" s="18"/>
      <c r="M23" s="18"/>
      <c r="N23" s="18"/>
      <c r="O23" s="18"/>
      <c r="P23" s="18"/>
      <c r="Q23" s="18"/>
      <c r="R23" s="19"/>
    </row>
    <row r="24" spans="1:18" x14ac:dyDescent="0.25">
      <c r="B24" s="17"/>
      <c r="C24" s="18"/>
      <c r="D24" s="18"/>
      <c r="E24" s="18"/>
      <c r="F24" s="18"/>
      <c r="G24" s="18"/>
      <c r="H24" s="18"/>
      <c r="I24" s="19"/>
      <c r="K24" s="17"/>
      <c r="L24" s="18"/>
      <c r="M24" s="18"/>
      <c r="N24" s="18"/>
      <c r="O24" s="18"/>
      <c r="P24" s="18"/>
      <c r="Q24" s="18"/>
      <c r="R24" s="19"/>
    </row>
    <row r="25" spans="1:18" x14ac:dyDescent="0.25">
      <c r="B25" s="17"/>
      <c r="C25" s="20"/>
      <c r="D25" s="18"/>
      <c r="E25" s="18"/>
      <c r="F25" s="18"/>
      <c r="G25" s="18"/>
      <c r="H25" s="18"/>
      <c r="I25" s="19"/>
      <c r="K25" s="17"/>
      <c r="L25" s="20"/>
      <c r="M25" s="18"/>
      <c r="N25" s="18"/>
      <c r="O25" s="18"/>
      <c r="P25" s="18"/>
      <c r="Q25" s="18"/>
      <c r="R25" s="19"/>
    </row>
    <row r="26" spans="1:18" x14ac:dyDescent="0.25">
      <c r="B26" s="17"/>
      <c r="C26" s="20"/>
      <c r="D26" s="18"/>
      <c r="E26" s="18"/>
      <c r="F26" s="18"/>
      <c r="G26" s="18"/>
      <c r="H26" s="18"/>
      <c r="I26" s="19"/>
      <c r="K26" s="17"/>
      <c r="L26" s="20"/>
      <c r="M26" s="18"/>
      <c r="N26" s="18"/>
      <c r="O26" s="18"/>
      <c r="P26" s="18"/>
      <c r="Q26" s="18"/>
      <c r="R26" s="19"/>
    </row>
    <row r="27" spans="1:18" x14ac:dyDescent="0.25">
      <c r="B27" s="17"/>
      <c r="C27" s="18"/>
      <c r="D27" s="18"/>
      <c r="E27" s="18"/>
      <c r="F27" s="18"/>
      <c r="G27" s="18"/>
      <c r="H27" s="18"/>
      <c r="I27" s="19"/>
      <c r="K27" s="17"/>
      <c r="L27" s="18"/>
      <c r="M27" s="18"/>
      <c r="N27" s="18"/>
      <c r="O27" s="18"/>
      <c r="P27" s="18"/>
      <c r="Q27" s="18"/>
      <c r="R27" s="19"/>
    </row>
    <row r="28" spans="1:18" x14ac:dyDescent="0.25">
      <c r="B28" s="17"/>
      <c r="C28" s="18"/>
      <c r="D28" s="18"/>
      <c r="E28" s="18"/>
      <c r="F28" s="18"/>
      <c r="G28" s="18"/>
      <c r="H28" s="18"/>
      <c r="I28" s="19"/>
      <c r="K28" s="17"/>
      <c r="L28" s="18"/>
      <c r="M28" s="18"/>
      <c r="N28" s="18"/>
      <c r="O28" s="18"/>
      <c r="P28" s="18"/>
      <c r="Q28" s="18"/>
      <c r="R28" s="19"/>
    </row>
    <row r="29" spans="1:18" x14ac:dyDescent="0.25">
      <c r="B29" s="17"/>
      <c r="C29" s="18"/>
      <c r="D29" s="18"/>
      <c r="E29" s="18"/>
      <c r="F29" s="18"/>
      <c r="G29" s="18"/>
      <c r="H29" s="18"/>
      <c r="I29" s="19"/>
      <c r="K29" s="17"/>
      <c r="L29" s="18"/>
      <c r="M29" s="18"/>
      <c r="N29" s="18"/>
      <c r="O29" s="18"/>
      <c r="P29" s="18"/>
      <c r="Q29" s="18"/>
      <c r="R29" s="19"/>
    </row>
    <row r="30" spans="1:18" x14ac:dyDescent="0.25">
      <c r="B30" s="17"/>
      <c r="C30" s="18"/>
      <c r="D30" s="18"/>
      <c r="E30" s="18"/>
      <c r="F30" s="18"/>
      <c r="G30" s="18"/>
      <c r="H30" s="18"/>
      <c r="I30" s="19"/>
      <c r="K30" s="17"/>
      <c r="L30" s="18"/>
      <c r="M30" s="18"/>
      <c r="N30" s="18"/>
      <c r="O30" s="18"/>
      <c r="P30" s="18"/>
      <c r="Q30" s="18"/>
      <c r="R30" s="19"/>
    </row>
    <row r="31" spans="1:18" x14ac:dyDescent="0.25">
      <c r="B31" s="17"/>
      <c r="C31" s="18"/>
      <c r="D31" s="18"/>
      <c r="E31" s="18"/>
      <c r="F31" s="18"/>
      <c r="G31" s="18"/>
      <c r="H31" s="18"/>
      <c r="I31" s="19"/>
      <c r="K31" s="17"/>
      <c r="L31" s="18"/>
      <c r="M31" s="18"/>
      <c r="N31" s="18"/>
      <c r="O31" s="18"/>
      <c r="P31" s="18"/>
      <c r="Q31" s="18"/>
      <c r="R31" s="19"/>
    </row>
    <row r="32" spans="1:18" x14ac:dyDescent="0.25">
      <c r="B32" s="17"/>
      <c r="C32" s="18"/>
      <c r="D32" s="18"/>
      <c r="E32" s="18"/>
      <c r="F32" s="18"/>
      <c r="G32" s="18"/>
      <c r="H32" s="18"/>
      <c r="I32" s="19"/>
      <c r="K32" s="17"/>
      <c r="L32" s="18"/>
      <c r="M32" s="18"/>
      <c r="N32" s="18"/>
      <c r="O32" s="18"/>
      <c r="P32" s="18"/>
      <c r="Q32" s="18"/>
      <c r="R32" s="19"/>
    </row>
    <row r="33" spans="2:19" x14ac:dyDescent="0.25">
      <c r="B33" s="17"/>
      <c r="C33" s="18"/>
      <c r="D33" s="18"/>
      <c r="E33" s="18"/>
      <c r="F33" s="18"/>
      <c r="G33" s="18"/>
      <c r="H33" s="18"/>
      <c r="I33" s="19"/>
      <c r="K33" s="17"/>
      <c r="L33" s="18"/>
      <c r="M33" s="18"/>
      <c r="N33" s="18"/>
      <c r="O33" s="18"/>
      <c r="P33" s="18"/>
      <c r="Q33" s="18"/>
      <c r="R33" s="19"/>
    </row>
    <row r="34" spans="2:19" x14ac:dyDescent="0.25">
      <c r="B34" s="17"/>
      <c r="C34" s="18"/>
      <c r="D34" s="18"/>
      <c r="E34" s="18"/>
      <c r="F34" s="18"/>
      <c r="G34" s="18"/>
      <c r="H34" s="18"/>
      <c r="I34" s="19"/>
      <c r="K34" s="17"/>
      <c r="L34" s="18"/>
      <c r="M34" s="18"/>
      <c r="N34" s="18"/>
      <c r="O34" s="18"/>
      <c r="P34" s="18"/>
      <c r="Q34" s="18"/>
      <c r="R34" s="19"/>
    </row>
    <row r="35" spans="2:19" x14ac:dyDescent="0.25">
      <c r="B35" s="17"/>
      <c r="C35" s="18"/>
      <c r="D35" s="18"/>
      <c r="E35" s="18"/>
      <c r="F35" s="18"/>
      <c r="G35" s="18"/>
      <c r="H35" s="18"/>
      <c r="I35" s="19"/>
      <c r="K35" s="17"/>
      <c r="L35" s="18"/>
      <c r="M35" s="18"/>
      <c r="N35" s="18"/>
      <c r="O35" s="18"/>
      <c r="P35" s="18"/>
      <c r="Q35" s="18"/>
      <c r="R35" s="19"/>
    </row>
    <row r="36" spans="2:19" x14ac:dyDescent="0.25">
      <c r="B36" s="17"/>
      <c r="C36" s="18"/>
      <c r="D36" s="18"/>
      <c r="E36" s="18"/>
      <c r="F36" s="18"/>
      <c r="G36" s="18"/>
      <c r="H36" s="18"/>
      <c r="I36" s="19"/>
      <c r="K36" s="17"/>
      <c r="L36" s="18"/>
      <c r="M36" s="18"/>
      <c r="N36" s="18"/>
      <c r="O36" s="18"/>
      <c r="P36" s="18"/>
      <c r="Q36" s="18"/>
      <c r="R36" s="19"/>
    </row>
    <row r="37" spans="2:19" x14ac:dyDescent="0.25">
      <c r="B37" s="17"/>
      <c r="C37" s="18"/>
      <c r="D37" s="18"/>
      <c r="E37" s="18"/>
      <c r="F37" s="18"/>
      <c r="G37" s="18"/>
      <c r="H37" s="18"/>
      <c r="I37" s="19"/>
      <c r="K37" s="17"/>
      <c r="L37" s="18"/>
      <c r="M37" s="18"/>
      <c r="N37" s="18"/>
      <c r="O37" s="18"/>
      <c r="P37" s="18"/>
      <c r="Q37" s="18"/>
      <c r="R37" s="19"/>
    </row>
    <row r="38" spans="2:19" x14ac:dyDescent="0.25">
      <c r="B38" s="17"/>
      <c r="C38" s="18"/>
      <c r="D38" s="18"/>
      <c r="E38" s="18"/>
      <c r="F38" s="18"/>
      <c r="G38" s="18"/>
      <c r="H38" s="18"/>
      <c r="I38" s="19"/>
      <c r="K38" s="17"/>
      <c r="L38" s="18"/>
      <c r="M38" s="18"/>
      <c r="N38" s="18"/>
      <c r="O38" s="18"/>
      <c r="P38" s="18"/>
      <c r="Q38" s="18"/>
      <c r="R38" s="19"/>
    </row>
    <row r="39" spans="2:19" x14ac:dyDescent="0.25">
      <c r="B39" s="17"/>
      <c r="C39" s="20"/>
      <c r="D39" s="18"/>
      <c r="E39" s="18"/>
      <c r="F39" s="18"/>
      <c r="G39" s="18"/>
      <c r="H39" s="18"/>
      <c r="I39" s="19"/>
      <c r="K39" s="17"/>
      <c r="L39" s="20"/>
      <c r="M39" s="18"/>
      <c r="N39" s="18"/>
      <c r="O39" s="18"/>
      <c r="P39" s="18"/>
      <c r="Q39" s="18"/>
      <c r="R39" s="19"/>
    </row>
    <row r="40" spans="2:19" x14ac:dyDescent="0.25">
      <c r="B40" s="17"/>
      <c r="C40" s="20"/>
      <c r="D40" s="18"/>
      <c r="E40" s="18"/>
      <c r="F40" s="18"/>
      <c r="G40" s="18"/>
      <c r="H40" s="18"/>
      <c r="I40" s="19"/>
      <c r="K40" s="17"/>
      <c r="L40" s="20"/>
      <c r="M40" s="18"/>
      <c r="N40" s="18"/>
      <c r="O40" s="18"/>
      <c r="P40" s="18"/>
      <c r="Q40" s="18"/>
      <c r="R40" s="19"/>
    </row>
    <row r="41" spans="2:19" ht="15.75" thickBot="1" x14ac:dyDescent="0.3">
      <c r="B41" s="17"/>
      <c r="C41" s="18"/>
      <c r="D41" s="18"/>
      <c r="E41" s="18"/>
      <c r="F41" s="18"/>
      <c r="G41" s="18"/>
      <c r="H41" s="18"/>
      <c r="I41" s="19"/>
      <c r="K41" s="21"/>
      <c r="L41" s="22"/>
      <c r="M41" s="22"/>
      <c r="N41" s="22"/>
      <c r="O41" s="22"/>
      <c r="P41" s="22"/>
      <c r="Q41" s="22"/>
      <c r="R41" s="23"/>
    </row>
    <row r="42" spans="2:19" x14ac:dyDescent="0.25">
      <c r="B42" s="17"/>
      <c r="C42" s="18"/>
      <c r="D42" s="18"/>
      <c r="E42" s="18"/>
      <c r="F42" s="18"/>
      <c r="G42" s="18"/>
      <c r="H42" s="18"/>
      <c r="I42" s="19"/>
      <c r="K42" s="18"/>
      <c r="L42" s="18"/>
      <c r="M42" s="18"/>
      <c r="N42" s="18"/>
      <c r="O42" s="18"/>
      <c r="P42" s="18"/>
      <c r="Q42" s="18"/>
      <c r="R42" s="18"/>
    </row>
    <row r="43" spans="2:19" ht="15.75" thickBot="1" x14ac:dyDescent="0.3">
      <c r="B43" s="21"/>
      <c r="C43" s="22"/>
      <c r="D43" s="22"/>
      <c r="E43" s="22"/>
      <c r="F43" s="22"/>
      <c r="G43" s="22"/>
      <c r="H43" s="22"/>
      <c r="I43" s="23"/>
      <c r="K43" s="18"/>
      <c r="L43" s="18"/>
      <c r="M43" s="18"/>
      <c r="N43" s="18"/>
      <c r="O43" s="18"/>
      <c r="P43" s="18"/>
      <c r="Q43" s="18"/>
      <c r="R43" s="18"/>
    </row>
    <row r="44" spans="2:19" x14ac:dyDescent="0.25">
      <c r="B44" s="18"/>
      <c r="C44" s="18"/>
      <c r="D44" s="18"/>
      <c r="E44" s="18"/>
      <c r="F44" s="18"/>
      <c r="G44" s="18"/>
      <c r="H44" s="18"/>
      <c r="I44" s="18"/>
    </row>
    <row r="45" spans="2:19" ht="16.5" hidden="1" customHeight="1" x14ac:dyDescent="0.25">
      <c r="D45" s="6" t="s">
        <v>62</v>
      </c>
    </row>
    <row r="46" spans="2:19" ht="18" hidden="1" customHeight="1" x14ac:dyDescent="0.25"/>
    <row r="47" spans="2:19" ht="18" hidden="1" customHeight="1" x14ac:dyDescent="0.25">
      <c r="D47" s="2" t="s">
        <v>67</v>
      </c>
      <c r="E47" s="4">
        <f>IF(C4="DP",25.4/E4,E4)</f>
        <v>0.8</v>
      </c>
      <c r="G47" s="90" t="s">
        <v>51</v>
      </c>
      <c r="P47" s="2" t="s">
        <v>67</v>
      </c>
      <c r="Q47" s="4">
        <f>IF(L4="DP",25.4/N4,N4)</f>
        <v>0.8</v>
      </c>
      <c r="S47" s="90" t="s">
        <v>51</v>
      </c>
    </row>
    <row r="48" spans="2:19" ht="16.5" hidden="1" customHeight="1" x14ac:dyDescent="0.25">
      <c r="C48" s="2"/>
      <c r="D48" s="2" t="s">
        <v>98</v>
      </c>
      <c r="E48" s="4">
        <f>IF(C4="Module",25.4/E4,E4)</f>
        <v>31.749999999999996</v>
      </c>
      <c r="G48" s="91"/>
      <c r="P48" s="2" t="s">
        <v>98</v>
      </c>
      <c r="Q48" s="4">
        <f>IF(L4="Module",25.4/N4,N4)</f>
        <v>31.749999999999996</v>
      </c>
      <c r="S48" s="91"/>
    </row>
    <row r="49" spans="2:20" ht="15.75" hidden="1" customHeight="1" x14ac:dyDescent="0.25">
      <c r="C49" s="2"/>
      <c r="D49" s="2" t="s">
        <v>97</v>
      </c>
      <c r="E49" s="10">
        <f xml:space="preserve"> H4</f>
        <v>45</v>
      </c>
      <c r="G49" s="1" t="s">
        <v>51</v>
      </c>
      <c r="P49" s="2" t="s">
        <v>96</v>
      </c>
      <c r="Q49" s="11">
        <f>Q4</f>
        <v>20</v>
      </c>
      <c r="R49" s="53" t="s">
        <v>18</v>
      </c>
      <c r="S49" s="1" t="s">
        <v>51</v>
      </c>
    </row>
    <row r="50" spans="2:20" ht="16.5" hidden="1" customHeight="1" x14ac:dyDescent="0.25">
      <c r="C50" s="2"/>
      <c r="D50" s="2" t="s">
        <v>96</v>
      </c>
      <c r="E50" s="11">
        <f xml:space="preserve"> H5</f>
        <v>20</v>
      </c>
      <c r="F50" s="53" t="s">
        <v>18</v>
      </c>
      <c r="G50" s="1" t="s">
        <v>51</v>
      </c>
      <c r="P50" s="2" t="s">
        <v>5</v>
      </c>
      <c r="Q50" s="8">
        <f xml:space="preserve"> 1 / Q48</f>
        <v>3.1496062992125991E-2</v>
      </c>
      <c r="R50" s="1" t="s">
        <v>68</v>
      </c>
    </row>
    <row r="51" spans="2:20" ht="17.25" hidden="1" customHeight="1" x14ac:dyDescent="0.25">
      <c r="B51" s="2"/>
      <c r="C51" s="2"/>
      <c r="D51" s="2" t="s">
        <v>5</v>
      </c>
      <c r="E51" s="8">
        <f xml:space="preserve"> 1 / E48</f>
        <v>3.1496062992125991E-2</v>
      </c>
      <c r="F51" s="1" t="s">
        <v>68</v>
      </c>
      <c r="I51" s="1" t="s">
        <v>50</v>
      </c>
      <c r="P51" s="2" t="s">
        <v>11</v>
      </c>
      <c r="Q51" s="4">
        <f xml:space="preserve"> (1+Q5) / Q48</f>
        <v>3.9370078740157487E-2</v>
      </c>
      <c r="R51" s="1" t="s">
        <v>68</v>
      </c>
      <c r="S51" s="4">
        <f>Q51*25.4</f>
        <v>1</v>
      </c>
      <c r="T51" s="1" t="s">
        <v>12</v>
      </c>
    </row>
    <row r="52" spans="2:20" ht="16.5" hidden="1" customHeight="1" x14ac:dyDescent="0.25">
      <c r="B52" s="2"/>
      <c r="C52" s="2"/>
      <c r="D52" s="2" t="s">
        <v>11</v>
      </c>
      <c r="E52" s="4">
        <f xml:space="preserve"> (1+H6) / E48</f>
        <v>3.9370078740157487E-2</v>
      </c>
      <c r="F52" s="1" t="s">
        <v>68</v>
      </c>
      <c r="I52" s="1" t="s">
        <v>78</v>
      </c>
      <c r="P52" s="47" t="s">
        <v>95</v>
      </c>
      <c r="Q52" s="54">
        <f xml:space="preserve"> 2 / Q48</f>
        <v>6.2992125984251982E-2</v>
      </c>
      <c r="R52" s="1" t="s">
        <v>68</v>
      </c>
      <c r="S52" s="4">
        <f>Q52*25.4</f>
        <v>1.6000000000000003</v>
      </c>
      <c r="T52" s="1" t="s">
        <v>12</v>
      </c>
    </row>
    <row r="53" spans="2:20" ht="15" hidden="1" customHeight="1" x14ac:dyDescent="0.25">
      <c r="B53" s="2"/>
      <c r="C53" s="2"/>
      <c r="D53" s="47" t="s">
        <v>95</v>
      </c>
      <c r="E53" s="54">
        <f xml:space="preserve"> 2 / E48</f>
        <v>6.2992125984251982E-2</v>
      </c>
      <c r="F53" s="1" t="s">
        <v>68</v>
      </c>
      <c r="I53" s="48" t="s">
        <v>49</v>
      </c>
      <c r="P53" s="47" t="s">
        <v>94</v>
      </c>
      <c r="Q53" s="4">
        <f xml:space="preserve"> (2+Q5) / Q48</f>
        <v>7.0866141732283477E-2</v>
      </c>
      <c r="R53" s="1" t="s">
        <v>68</v>
      </c>
      <c r="S53" s="4">
        <f>Q53*25.4</f>
        <v>1.8000000000000003</v>
      </c>
      <c r="T53" s="1" t="s">
        <v>12</v>
      </c>
    </row>
    <row r="54" spans="2:20" ht="14.25" hidden="1" customHeight="1" x14ac:dyDescent="0.25">
      <c r="B54" s="2"/>
      <c r="C54" s="2"/>
      <c r="D54" s="47" t="s">
        <v>94</v>
      </c>
      <c r="E54" s="4">
        <f xml:space="preserve"> (2+H6) / E48</f>
        <v>7.0866141732283477E-2</v>
      </c>
      <c r="F54" s="1" t="s">
        <v>68</v>
      </c>
      <c r="I54" s="1" t="s">
        <v>77</v>
      </c>
      <c r="K54" s="46"/>
      <c r="P54" s="2" t="s">
        <v>93</v>
      </c>
      <c r="Q54" s="4">
        <f xml:space="preserve"> Q5 / Q48</f>
        <v>7.8740157480314977E-3</v>
      </c>
      <c r="R54" s="1" t="s">
        <v>68</v>
      </c>
      <c r="S54" s="4">
        <f t="shared" ref="S54:S56" si="0">Q54*25.4</f>
        <v>0.20000000000000004</v>
      </c>
      <c r="T54" s="1" t="s">
        <v>12</v>
      </c>
    </row>
    <row r="55" spans="2:20" ht="14.25" hidden="1" customHeight="1" x14ac:dyDescent="0.25">
      <c r="C55" s="2"/>
      <c r="D55" s="2" t="s">
        <v>93</v>
      </c>
      <c r="E55" s="4">
        <f xml:space="preserve"> H6 / E48</f>
        <v>7.8740157480314977E-3</v>
      </c>
      <c r="F55" s="1" t="s">
        <v>68</v>
      </c>
      <c r="I55" s="1" t="s">
        <v>79</v>
      </c>
      <c r="P55" s="2" t="s">
        <v>92</v>
      </c>
      <c r="Q55" s="4">
        <f>1.5708/Q48</f>
        <v>4.9474015748031501E-2</v>
      </c>
      <c r="R55" s="1" t="s">
        <v>68</v>
      </c>
      <c r="S55" s="4">
        <f t="shared" si="0"/>
        <v>1.25664</v>
      </c>
      <c r="T55" s="1" t="s">
        <v>12</v>
      </c>
    </row>
    <row r="56" spans="2:20" ht="15.75" hidden="1" customHeight="1" x14ac:dyDescent="0.25">
      <c r="B56" s="2"/>
      <c r="C56" s="2"/>
      <c r="D56" s="2" t="s">
        <v>92</v>
      </c>
      <c r="E56" s="4">
        <f>1.5708/E48</f>
        <v>4.9474015748031501E-2</v>
      </c>
      <c r="F56" s="1" t="s">
        <v>68</v>
      </c>
      <c r="I56" s="1" t="s">
        <v>48</v>
      </c>
      <c r="P56" s="2" t="s">
        <v>114</v>
      </c>
      <c r="Q56" s="4">
        <f xml:space="preserve"> 3.14159 / Q48</f>
        <v>9.8947716535433078E-2</v>
      </c>
      <c r="R56" s="1" t="s">
        <v>68</v>
      </c>
      <c r="S56" s="4">
        <f t="shared" si="0"/>
        <v>2.5132720000000002</v>
      </c>
      <c r="T56" s="1" t="s">
        <v>12</v>
      </c>
    </row>
    <row r="57" spans="2:20" ht="15.75" hidden="1" customHeight="1" x14ac:dyDescent="0.25">
      <c r="B57" s="2"/>
      <c r="C57" s="2"/>
      <c r="D57" s="2" t="s">
        <v>91</v>
      </c>
      <c r="E57" s="4">
        <f xml:space="preserve"> 3.14159 / E48</f>
        <v>9.8947716535433078E-2</v>
      </c>
      <c r="F57" s="1" t="s">
        <v>68</v>
      </c>
      <c r="I57" s="1" t="s">
        <v>47</v>
      </c>
      <c r="P57" s="5"/>
    </row>
    <row r="58" spans="2:20" ht="17.25" hidden="1" customHeight="1" x14ac:dyDescent="0.25">
      <c r="B58" s="2"/>
      <c r="C58" s="2"/>
      <c r="D58" s="2" t="s">
        <v>90</v>
      </c>
      <c r="E58" s="4">
        <f xml:space="preserve"> E49 / E48</f>
        <v>1.4173228346456694</v>
      </c>
      <c r="F58" s="1" t="s">
        <v>68</v>
      </c>
      <c r="I58" s="1" t="s">
        <v>46</v>
      </c>
    </row>
    <row r="59" spans="2:20" ht="17.25" hidden="1" customHeight="1" x14ac:dyDescent="0.25">
      <c r="B59" s="2"/>
      <c r="C59" s="2"/>
      <c r="D59" s="2" t="s">
        <v>10</v>
      </c>
      <c r="E59" s="4">
        <f xml:space="preserve"> ( E49+ 2 ) / E48</f>
        <v>1.4803149606299215</v>
      </c>
      <c r="F59" s="1" t="s">
        <v>68</v>
      </c>
      <c r="G59" s="1">
        <f>E59*25.4</f>
        <v>37.6</v>
      </c>
      <c r="H59" s="1" t="s">
        <v>12</v>
      </c>
      <c r="I59" s="1" t="s">
        <v>45</v>
      </c>
    </row>
    <row r="60" spans="2:20" ht="18" hidden="1" customHeight="1" x14ac:dyDescent="0.25">
      <c r="B60" s="2"/>
      <c r="C60" s="2"/>
      <c r="D60" s="2" t="s">
        <v>89</v>
      </c>
      <c r="E60" s="4">
        <f xml:space="preserve"> E58 + ( 2 * E51 )</f>
        <v>1.4803149606299215</v>
      </c>
      <c r="F60" s="1" t="s">
        <v>68</v>
      </c>
      <c r="I60" s="1" t="s">
        <v>44</v>
      </c>
      <c r="Q60" s="5"/>
    </row>
    <row r="61" spans="2:20" ht="15" hidden="1" customHeight="1" x14ac:dyDescent="0.25">
      <c r="B61" s="2"/>
      <c r="C61" s="2"/>
      <c r="D61" s="2" t="s">
        <v>88</v>
      </c>
      <c r="E61" s="4">
        <f xml:space="preserve"> E58 - ( 2 * E52 )</f>
        <v>1.3385826771653544</v>
      </c>
      <c r="F61" s="1" t="s">
        <v>68</v>
      </c>
      <c r="G61" s="1">
        <f>E61*25.4</f>
        <v>34</v>
      </c>
      <c r="H61" s="1" t="s">
        <v>12</v>
      </c>
      <c r="I61" s="1" t="s">
        <v>43</v>
      </c>
      <c r="Q61" s="5"/>
    </row>
    <row r="62" spans="2:20" ht="15" hidden="1" customHeight="1" x14ac:dyDescent="0.25">
      <c r="B62" s="2"/>
      <c r="C62" s="2"/>
      <c r="D62" s="2" t="s">
        <v>87</v>
      </c>
      <c r="E62" s="4">
        <f>E58*COS(RADIANS(E50))</f>
        <v>1.3318478089879018</v>
      </c>
      <c r="F62" s="1" t="s">
        <v>68</v>
      </c>
      <c r="I62" s="3" t="s">
        <v>42</v>
      </c>
      <c r="Q62" s="5"/>
    </row>
    <row r="63" spans="2:20" ht="15.75" hidden="1" customHeight="1" x14ac:dyDescent="0.25">
      <c r="B63" s="2"/>
      <c r="C63" s="2"/>
      <c r="D63" s="2" t="s">
        <v>86</v>
      </c>
      <c r="E63" s="3">
        <f xml:space="preserve"> 360 /E49</f>
        <v>8</v>
      </c>
      <c r="F63" s="53" t="s">
        <v>18</v>
      </c>
      <c r="I63" s="11" t="s">
        <v>41</v>
      </c>
    </row>
    <row r="64" spans="2:20" ht="15.75" hidden="1" customHeight="1" x14ac:dyDescent="0.25">
      <c r="B64" s="2"/>
      <c r="C64" s="2"/>
      <c r="D64" s="2"/>
      <c r="E64" s="3"/>
      <c r="F64" s="53"/>
      <c r="I64" s="11"/>
    </row>
    <row r="65" spans="2:21" ht="15.75" hidden="1" customHeight="1" x14ac:dyDescent="0.25">
      <c r="B65" s="2"/>
      <c r="C65" s="2"/>
      <c r="D65" s="6" t="s">
        <v>17</v>
      </c>
      <c r="E65" s="3"/>
      <c r="F65" s="53"/>
      <c r="I65" s="11"/>
      <c r="P65" s="6" t="s">
        <v>17</v>
      </c>
    </row>
    <row r="66" spans="2:21" ht="15.75" hidden="1" customHeight="1" x14ac:dyDescent="0.25">
      <c r="B66" s="2"/>
      <c r="C66" s="2"/>
      <c r="D66" s="2"/>
      <c r="E66" s="3"/>
      <c r="F66" s="53"/>
      <c r="I66" s="11"/>
    </row>
    <row r="67" spans="2:21" ht="15" hidden="1" customHeight="1" x14ac:dyDescent="0.25">
      <c r="B67" s="2"/>
      <c r="C67" s="2"/>
      <c r="D67" s="2" t="s">
        <v>84</v>
      </c>
      <c r="E67" s="4">
        <f>E58*SIN(RADIANS(E50))</f>
        <v>0.48475295904425492</v>
      </c>
      <c r="F67" s="1" t="s">
        <v>68</v>
      </c>
      <c r="G67" s="3">
        <f>E67*25.4</f>
        <v>12.312725159724074</v>
      </c>
      <c r="H67" s="1" t="s">
        <v>12</v>
      </c>
      <c r="I67" s="1" t="s">
        <v>40</v>
      </c>
    </row>
    <row r="68" spans="2:21" ht="15" hidden="1" customHeight="1" x14ac:dyDescent="0.25">
      <c r="B68" s="2"/>
      <c r="C68" s="2"/>
      <c r="D68" s="2" t="s">
        <v>85</v>
      </c>
      <c r="E68" s="4">
        <f>E62*SIN(RADIANS(E50+(E63/4)))</f>
        <v>0.49891897067340418</v>
      </c>
      <c r="F68" s="1" t="s">
        <v>68</v>
      </c>
      <c r="G68" s="3">
        <f t="shared" ref="G68:G70" si="1">E68*25.4</f>
        <v>12.672541855104466</v>
      </c>
      <c r="H68" s="1" t="s">
        <v>12</v>
      </c>
      <c r="I68" s="1" t="s">
        <v>39</v>
      </c>
    </row>
    <row r="69" spans="2:21" ht="14.25" hidden="1" customHeight="1" x14ac:dyDescent="0.25">
      <c r="B69" s="2"/>
      <c r="C69" s="2"/>
      <c r="D69" s="2" t="s">
        <v>106</v>
      </c>
      <c r="E69" s="4">
        <f>(E67/2)-((E61/2)-(E62*COS(RADIANS(E50+(E63/4)))/2))</f>
        <v>0.19051903355631691</v>
      </c>
      <c r="F69" s="1" t="s">
        <v>68</v>
      </c>
      <c r="G69" s="3">
        <f t="shared" si="1"/>
        <v>4.8391834523304498</v>
      </c>
      <c r="H69" s="1" t="s">
        <v>12</v>
      </c>
      <c r="I69" s="1" t="s">
        <v>57</v>
      </c>
    </row>
    <row r="70" spans="2:21" ht="14.25" hidden="1" customHeight="1" x14ac:dyDescent="0.25">
      <c r="B70" s="2"/>
      <c r="C70" s="2"/>
      <c r="D70" s="47" t="s">
        <v>83</v>
      </c>
      <c r="E70" s="4">
        <f>(2+H6)/E48</f>
        <v>7.0866141732283477E-2</v>
      </c>
      <c r="F70" s="1" t="s">
        <v>68</v>
      </c>
      <c r="G70" s="3">
        <f t="shared" si="1"/>
        <v>1.8000000000000003</v>
      </c>
      <c r="H70" s="1" t="s">
        <v>12</v>
      </c>
      <c r="I70" s="1" t="s">
        <v>76</v>
      </c>
      <c r="P70" s="47" t="s">
        <v>83</v>
      </c>
      <c r="Q70" s="4">
        <f>(2+Q5)/Q48</f>
        <v>7.0866141732283477E-2</v>
      </c>
      <c r="R70" s="1" t="s">
        <v>68</v>
      </c>
      <c r="S70" s="3">
        <f t="shared" ref="S70" si="2">Q70*25.4</f>
        <v>1.8000000000000003</v>
      </c>
      <c r="T70" s="1" t="s">
        <v>12</v>
      </c>
      <c r="U70" s="1" t="s">
        <v>76</v>
      </c>
    </row>
    <row r="71" spans="2:21" ht="16.5" hidden="1" customHeight="1" x14ac:dyDescent="0.25">
      <c r="B71" s="2"/>
      <c r="C71" s="2"/>
      <c r="D71" s="47" t="s">
        <v>82</v>
      </c>
      <c r="E71" s="4">
        <f>2*(E59/2)*SIN(RADIANS(E63/2))</f>
        <v>0.103261551684217</v>
      </c>
      <c r="F71" s="1" t="s">
        <v>68</v>
      </c>
      <c r="G71" s="3">
        <f t="shared" ref="G71" si="3">E71*25.4</f>
        <v>2.6228434127791114</v>
      </c>
      <c r="H71" s="1" t="s">
        <v>12</v>
      </c>
      <c r="I71" s="1" t="s">
        <v>75</v>
      </c>
      <c r="P71" s="47" t="s">
        <v>82</v>
      </c>
      <c r="Q71" s="4">
        <f>Q56</f>
        <v>9.8947716535433078E-2</v>
      </c>
      <c r="R71" s="1" t="s">
        <v>68</v>
      </c>
      <c r="S71" s="3">
        <f t="shared" ref="S71" si="4">Q71*25.4</f>
        <v>2.5132720000000002</v>
      </c>
      <c r="T71" s="1" t="s">
        <v>12</v>
      </c>
      <c r="U71" s="1" t="s">
        <v>113</v>
      </c>
    </row>
    <row r="72" spans="2:21" ht="16.5" hidden="1" customHeight="1" x14ac:dyDescent="0.25">
      <c r="B72" s="2"/>
      <c r="C72" s="2"/>
      <c r="D72" s="47" t="s">
        <v>81</v>
      </c>
      <c r="E72" s="4">
        <f>(E9/2)-((E68-E67)/2)</f>
        <v>1.3043387005749811</v>
      </c>
      <c r="F72" s="1" t="s">
        <v>68</v>
      </c>
      <c r="G72" s="3">
        <f>(E9/2)-((G68-G67)/2)</f>
        <v>1.1315133586993598</v>
      </c>
      <c r="H72" s="1" t="s">
        <v>12</v>
      </c>
      <c r="I72" s="1" t="s">
        <v>115</v>
      </c>
      <c r="P72" s="47" t="s">
        <v>116</v>
      </c>
      <c r="Q72" s="4">
        <f>(N8/2)-((Q56/4)-Q51*TAN(RADIANS(Q49)))</f>
        <v>1.2462286076482758</v>
      </c>
      <c r="R72" s="1" t="s">
        <v>68</v>
      </c>
      <c r="S72" s="3">
        <f>(N8/2)-((S56/4)-S51*TAN(RADIANS(Q49)))</f>
        <v>0.99228823426620238</v>
      </c>
      <c r="T72" s="1" t="s">
        <v>12</v>
      </c>
    </row>
    <row r="73" spans="2:21" ht="16.5" hidden="1" customHeight="1" x14ac:dyDescent="0.25">
      <c r="B73" s="2"/>
      <c r="C73" s="2"/>
      <c r="D73" s="47" t="s">
        <v>124</v>
      </c>
      <c r="E73" s="4">
        <f>E55+ (E55 * TAN(RADIANS(E50))/TAN(RADIANS((90-E50)/2)))</f>
        <v>1.1966955626619983E-2</v>
      </c>
      <c r="F73" s="1" t="s">
        <v>68</v>
      </c>
      <c r="G73" s="4">
        <f>E73*25.4</f>
        <v>0.30396067291614753</v>
      </c>
      <c r="H73" s="1" t="s">
        <v>12</v>
      </c>
      <c r="I73" s="3" t="s">
        <v>126</v>
      </c>
      <c r="P73" s="47" t="s">
        <v>124</v>
      </c>
      <c r="Q73" s="4">
        <f>Q54+ (Q54 * TAN(RADIANS(Q49))/TAN(RADIANS((90-Q49)/2)))</f>
        <v>1.1966955626619983E-2</v>
      </c>
      <c r="R73" s="1" t="s">
        <v>68</v>
      </c>
      <c r="S73" s="4">
        <f>Q73*25.4</f>
        <v>0.30396067291614753</v>
      </c>
      <c r="T73" s="1" t="s">
        <v>12</v>
      </c>
      <c r="U73" s="3" t="s">
        <v>126</v>
      </c>
    </row>
    <row r="74" spans="2:21" ht="16.5" hidden="1" customHeight="1" x14ac:dyDescent="0.25">
      <c r="B74" s="2"/>
      <c r="C74" s="2"/>
      <c r="D74" s="47" t="s">
        <v>127</v>
      </c>
      <c r="E74" s="4">
        <f xml:space="preserve"> 0.0316732 * ( 25.4 / E48 )</f>
        <v>2.533856E-2</v>
      </c>
      <c r="F74" s="1" t="s">
        <v>68</v>
      </c>
      <c r="G74" s="4">
        <f>E74*25.4</f>
        <v>0.64359942399999992</v>
      </c>
      <c r="H74" s="1" t="s">
        <v>12</v>
      </c>
      <c r="I74" s="3"/>
      <c r="P74" s="47" t="s">
        <v>127</v>
      </c>
      <c r="Q74" s="4">
        <f>(Q56/2)-(2*(TAN(RADIANS(Q49)))*Q51)</f>
        <v>2.0814784703448632E-2</v>
      </c>
      <c r="R74" s="1" t="s">
        <v>68</v>
      </c>
      <c r="S74" s="4">
        <f>Q74*25.4</f>
        <v>0.52869553146759518</v>
      </c>
      <c r="T74" s="1" t="s">
        <v>12</v>
      </c>
      <c r="U74" s="3"/>
    </row>
    <row r="75" spans="2:21" ht="16.5" hidden="1" customHeight="1" x14ac:dyDescent="0.25">
      <c r="B75" s="2"/>
      <c r="C75" s="2"/>
      <c r="D75" s="47"/>
      <c r="E75" s="4"/>
      <c r="G75" s="3"/>
    </row>
    <row r="76" spans="2:21" ht="15" hidden="1" customHeight="1" x14ac:dyDescent="0.25">
      <c r="C76" s="2"/>
      <c r="D76" s="6" t="s">
        <v>65</v>
      </c>
    </row>
    <row r="77" spans="2:21" ht="15.75" hidden="1" customHeight="1" x14ac:dyDescent="0.25">
      <c r="D77" s="2"/>
      <c r="E77" s="1" t="s">
        <v>63</v>
      </c>
    </row>
    <row r="78" spans="2:21" ht="13.5" hidden="1" customHeight="1" x14ac:dyDescent="0.25">
      <c r="D78" s="2"/>
      <c r="E78" s="1" t="s">
        <v>64</v>
      </c>
    </row>
    <row r="79" spans="2:21" ht="15.75" hidden="1" customHeight="1" x14ac:dyDescent="0.25">
      <c r="D79" s="2"/>
      <c r="E79" s="3"/>
    </row>
    <row r="80" spans="2:21" ht="15.75" hidden="1" customHeight="1" x14ac:dyDescent="0.25">
      <c r="D80" s="2"/>
      <c r="E80" s="4">
        <v>0.4</v>
      </c>
    </row>
    <row r="81" spans="3:10" ht="15.75" hidden="1" customHeight="1" x14ac:dyDescent="0.25">
      <c r="D81" s="2"/>
      <c r="E81" s="4">
        <v>0.35</v>
      </c>
    </row>
    <row r="82" spans="3:10" ht="15.75" hidden="1" customHeight="1" x14ac:dyDescent="0.25">
      <c r="E82" s="4">
        <v>0.25</v>
      </c>
    </row>
    <row r="83" spans="3:10" ht="17.25" hidden="1" customHeight="1" x14ac:dyDescent="0.25">
      <c r="D83" s="6"/>
      <c r="E83" s="4">
        <v>0.2</v>
      </c>
    </row>
    <row r="84" spans="3:10" ht="17.25" hidden="1" customHeight="1" x14ac:dyDescent="0.25">
      <c r="E84" s="4">
        <v>0.157</v>
      </c>
    </row>
    <row r="85" spans="3:10" ht="17.25" hidden="1" customHeight="1" x14ac:dyDescent="0.25">
      <c r="D85" s="2"/>
      <c r="E85" s="4">
        <v>0</v>
      </c>
      <c r="J85" s="9"/>
    </row>
    <row r="86" spans="3:10" ht="15.75" hidden="1" customHeight="1" x14ac:dyDescent="0.25">
      <c r="D86" s="2"/>
      <c r="E86" s="3"/>
    </row>
    <row r="87" spans="3:10" ht="12.75" customHeight="1" x14ac:dyDescent="0.25">
      <c r="D87" s="2"/>
      <c r="E87" s="3"/>
    </row>
    <row r="94" spans="3:10" x14ac:dyDescent="0.25">
      <c r="C94" s="12"/>
    </row>
  </sheetData>
  <sheetProtection algorithmName="SHA-512" hashValue="0L9c6SYEj/wXLEjIFO9JndcsYKsnN5Mmes1LRgQi7k2RwppmiEhHGqrnFuBStE5VA3xmrpyqLjAholw7nJb9xQ==" saltValue="Ts0QBFbFXsMFxV1nbDsytA==" spinCount="100000" sheet="1" objects="1" scenarios="1" selectLockedCells="1"/>
  <mergeCells count="4">
    <mergeCell ref="G47:G48"/>
    <mergeCell ref="B2:D2"/>
    <mergeCell ref="S47:S48"/>
    <mergeCell ref="K2:L2"/>
  </mergeCells>
  <dataValidations count="11">
    <dataValidation type="decimal" allowBlank="1" showErrorMessage="1" error="Enter a decimal value between 14.5 degrees and 40 degrees." sqref="H5">
      <formula1>14.5</formula1>
      <formula2>40</formula2>
    </dataValidation>
    <dataValidation type="decimal" allowBlank="1" showInputMessage="1" showErrorMessage="1" sqref="C5:C8 L5:L7">
      <formula1>0.2</formula1>
      <formula2>1</formula2>
    </dataValidation>
    <dataValidation type="list" allowBlank="1" showInputMessage="1" sqref="N46:N47">
      <formula1>$E$77:$E$78</formula1>
    </dataValidation>
    <dataValidation type="whole" operator="greaterThanOrEqual" allowBlank="1" showErrorMessage="1" error="Enter a tooth number greater than or equal to 10." sqref="H4">
      <formula1>10</formula1>
    </dataValidation>
    <dataValidation type="decimal" operator="greaterThan" allowBlank="1" showErrorMessage="1" error="Enter a value greater than 0." sqref="E4 N4">
      <formula1>0</formula1>
    </dataValidation>
    <dataValidation type="list" allowBlank="1" showErrorMessage="1" error="Select a gear system - either &quot;DP&quot; (Diametral Pitch) or &quot;Module&quot;" sqref="C4 L4">
      <formula1>$E$77:$E$78</formula1>
    </dataValidation>
    <dataValidation type="list" allowBlank="1" showErrorMessage="1" error="Select a clearance figure from the selections available." sqref="H6 Q5">
      <formula1>$E$80:$E$85</formula1>
    </dataValidation>
    <dataValidation type="decimal" operator="greaterThan" allowBlank="1" showErrorMessage="1" error="Enter a value for the cutter blank that is greater than the minimum cutter blank thickness specified below." sqref="E10">
      <formula1>E18</formula1>
    </dataValidation>
    <dataValidation type="decimal" allowBlank="1" showErrorMessage="1" error="Enter a decimal value between 14.5 degrees and 30 degrees." sqref="Q4">
      <formula1>14.5</formula1>
      <formula2>30</formula2>
    </dataValidation>
    <dataValidation type="decimal" operator="greaterThanOrEqual" allowBlank="1" showInputMessage="1" showErrorMessage="1" error="Enter a cutter blank thickness greater than or equal to the optimum cutter thickness (refer to the cell directly above)" sqref="N8">
      <formula1>N7</formula1>
    </dataValidation>
    <dataValidation type="decimal" operator="greaterThanOrEqual" allowBlank="1" showErrorMessage="1" error="Enter a cutter blank thickness greater than or equal to the optimum cutter thickness (refer to the cell directly above)" sqref="E9">
      <formula1>E8</formula1>
    </dataValidation>
  </dataValidations>
  <pageMargins left="0.47244094488188981" right="0.19685039370078741" top="0.74803149606299213" bottom="0.19685039370078741" header="0" footer="0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B1:T98"/>
  <sheetViews>
    <sheetView showGridLines="0" tabSelected="1" zoomScaleNormal="100" workbookViewId="0">
      <selection activeCell="C4" sqref="C4"/>
    </sheetView>
  </sheetViews>
  <sheetFormatPr defaultRowHeight="15" x14ac:dyDescent="0.25"/>
  <cols>
    <col min="1" max="1" width="11.5703125" style="1" customWidth="1"/>
    <col min="2" max="2" width="20.85546875" style="1" customWidth="1"/>
    <col min="3" max="3" width="7.85546875" style="1" customWidth="1"/>
    <col min="4" max="4" width="27.5703125" style="1" customWidth="1"/>
    <col min="5" max="5" width="8.28515625" style="1" customWidth="1"/>
    <col min="6" max="6" width="7" style="1" customWidth="1"/>
    <col min="7" max="7" width="18.5703125" style="1" customWidth="1"/>
    <col min="8" max="8" width="8.85546875" style="1" customWidth="1"/>
    <col min="9" max="9" width="9.140625" style="1"/>
    <col min="10" max="10" width="5.85546875" style="1" customWidth="1"/>
    <col min="11" max="11" width="20.85546875" style="1" customWidth="1"/>
    <col min="12" max="12" width="7.85546875" style="1" customWidth="1"/>
    <col min="13" max="13" width="27.5703125" style="1" customWidth="1"/>
    <col min="14" max="14" width="8.28515625" style="1" customWidth="1"/>
    <col min="15" max="15" width="7" style="1" customWidth="1"/>
    <col min="16" max="16" width="18.5703125" style="1" customWidth="1"/>
    <col min="17" max="17" width="8.85546875" style="1" customWidth="1"/>
    <col min="18" max="18" width="9.140625" style="1"/>
    <col min="19" max="19" width="5.85546875" style="1" customWidth="1"/>
    <col min="20" max="16384" width="9.140625" style="1"/>
  </cols>
  <sheetData>
    <row r="1" spans="2:18" ht="15.75" customHeight="1" thickBot="1" x14ac:dyDescent="0.3"/>
    <row r="2" spans="2:18" ht="15.75" customHeight="1" thickBot="1" x14ac:dyDescent="0.3">
      <c r="B2" s="99" t="s">
        <v>53</v>
      </c>
      <c r="C2" s="100"/>
      <c r="K2" s="99" t="s">
        <v>54</v>
      </c>
      <c r="L2" s="100"/>
    </row>
    <row r="3" spans="2:18" ht="15.75" customHeight="1" thickBot="1" x14ac:dyDescent="0.3">
      <c r="B3" s="25"/>
      <c r="C3" s="26"/>
      <c r="D3" s="26"/>
      <c r="E3" s="26"/>
      <c r="F3" s="26"/>
      <c r="G3" s="26"/>
      <c r="H3" s="26"/>
      <c r="I3" s="27"/>
      <c r="K3" s="25"/>
      <c r="L3" s="26"/>
      <c r="M3" s="26"/>
      <c r="N3" s="26"/>
      <c r="O3" s="26"/>
      <c r="P3" s="52"/>
      <c r="Q3" s="26"/>
      <c r="R3" s="27"/>
    </row>
    <row r="4" spans="2:18" ht="15.75" customHeight="1" thickBot="1" x14ac:dyDescent="0.3">
      <c r="B4" s="28" t="s">
        <v>66</v>
      </c>
      <c r="C4" s="58" t="s">
        <v>64</v>
      </c>
      <c r="D4" s="28" t="str">
        <f>IF(C4="DP", "Diametral Pitch - DP:","Module - M:")</f>
        <v>Module - M:</v>
      </c>
      <c r="E4" s="24">
        <v>0.85</v>
      </c>
      <c r="F4" s="41"/>
      <c r="G4" s="29" t="s">
        <v>37</v>
      </c>
      <c r="H4" s="13">
        <v>60</v>
      </c>
      <c r="I4" s="31"/>
      <c r="K4" s="28" t="s">
        <v>66</v>
      </c>
      <c r="L4" s="71" t="s">
        <v>64</v>
      </c>
      <c r="M4" s="28" t="str">
        <f>IF(L4="DP", "Diametral Pitch - DP:","Module - M:")</f>
        <v>Module - M:</v>
      </c>
      <c r="N4" s="24">
        <v>0.85</v>
      </c>
      <c r="O4" s="41"/>
      <c r="P4" s="29" t="s">
        <v>37</v>
      </c>
      <c r="Q4" s="13">
        <v>10</v>
      </c>
      <c r="R4" s="31"/>
    </row>
    <row r="5" spans="2:18" ht="15.75" customHeight="1" x14ac:dyDescent="0.25">
      <c r="B5" s="42"/>
      <c r="C5" s="33"/>
      <c r="D5" s="34" t="str">
        <f>IF(C4="DP", "(Equal to Module of:","(Equal to DP of:")</f>
        <v>(Equal to DP of:</v>
      </c>
      <c r="E5" s="59">
        <f>IF(C4="DP", E77,E76)</f>
        <v>29.882352941176471</v>
      </c>
      <c r="F5" s="30" t="s">
        <v>69</v>
      </c>
      <c r="G5" s="83" t="s">
        <v>122</v>
      </c>
      <c r="H5" s="84"/>
      <c r="I5" s="85"/>
      <c r="K5" s="32"/>
      <c r="L5" s="33"/>
      <c r="M5" s="34" t="str">
        <f>IF(L4="DP", "(Equal to Module of:","(Equal to DP of:")</f>
        <v>(Equal to DP of:</v>
      </c>
      <c r="N5" s="59">
        <f>IF(L4="DP", N74,N73)</f>
        <v>29.882352941176471</v>
      </c>
      <c r="O5" s="39" t="s">
        <v>69</v>
      </c>
      <c r="P5" s="61" t="s">
        <v>73</v>
      </c>
      <c r="Q5" s="30"/>
      <c r="R5" s="31"/>
    </row>
    <row r="6" spans="2:18" ht="15.75" customHeight="1" x14ac:dyDescent="0.25">
      <c r="B6" s="42"/>
      <c r="C6" s="33"/>
      <c r="D6" s="51"/>
      <c r="E6" s="51"/>
      <c r="F6" s="51"/>
      <c r="G6" s="61"/>
      <c r="H6" s="30"/>
      <c r="I6" s="31"/>
      <c r="K6" s="32"/>
      <c r="L6" s="33"/>
      <c r="M6" s="51"/>
      <c r="N6" s="51"/>
      <c r="O6" s="51"/>
      <c r="P6" s="61"/>
      <c r="Q6" s="30"/>
      <c r="R6" s="31"/>
    </row>
    <row r="7" spans="2:18" ht="15.75" customHeight="1" thickBot="1" x14ac:dyDescent="0.3">
      <c r="B7" s="34"/>
      <c r="C7" s="35"/>
      <c r="D7" s="29" t="s">
        <v>107</v>
      </c>
      <c r="E7" s="56">
        <f>IF(C4="Module", E82,E82/25.4)</f>
        <v>3.9649159742188878</v>
      </c>
      <c r="F7" s="30" t="str">
        <f>IF(C4="DP", "Inch","mm")</f>
        <v>mm</v>
      </c>
      <c r="G7" s="29" t="s">
        <v>125</v>
      </c>
      <c r="H7" s="57">
        <f>IF(L4="Module", E85,E85/25.4)</f>
        <v>0.63011440566373944</v>
      </c>
      <c r="I7" s="88" t="str">
        <f>IF(C4="DP", "Inch","mm")</f>
        <v>mm</v>
      </c>
      <c r="K7" s="34"/>
      <c r="L7" s="35"/>
      <c r="M7" s="29" t="s">
        <v>107</v>
      </c>
      <c r="N7" s="56">
        <f>IF(L4="Module", N80,N80/25.4)</f>
        <v>4.1168711821353776</v>
      </c>
      <c r="O7" s="30" t="str">
        <f>IF(L4="DP", "Inch","mm")</f>
        <v>mm</v>
      </c>
      <c r="P7" s="29" t="s">
        <v>125</v>
      </c>
      <c r="Q7" s="55">
        <f>IF(L4="Module", N82,N82/25.4)</f>
        <v>0.57820310406001696</v>
      </c>
      <c r="R7" s="31" t="str">
        <f>IF(L1="DP", "Inch","mm")</f>
        <v>mm</v>
      </c>
    </row>
    <row r="8" spans="2:18" ht="15.75" customHeight="1" thickBot="1" x14ac:dyDescent="0.3">
      <c r="B8" s="34"/>
      <c r="C8" s="29"/>
      <c r="D8" s="29" t="s">
        <v>105</v>
      </c>
      <c r="E8" s="50">
        <f>E7</f>
        <v>3.9649159742188878</v>
      </c>
      <c r="F8" s="30" t="str">
        <f>IF(C4="DP", "Inch","mm")</f>
        <v>mm</v>
      </c>
      <c r="G8" s="51"/>
      <c r="H8" s="35" t="s">
        <v>128</v>
      </c>
      <c r="I8" s="31"/>
      <c r="K8" s="34"/>
      <c r="L8" s="35"/>
      <c r="M8" s="29" t="s">
        <v>105</v>
      </c>
      <c r="N8" s="50">
        <f>N7</f>
        <v>4.1168711821353776</v>
      </c>
      <c r="O8" s="30" t="str">
        <f>IF(L4="DP", "Inch","mm")</f>
        <v>mm</v>
      </c>
      <c r="P8" s="51"/>
      <c r="Q8" s="35" t="s">
        <v>128</v>
      </c>
      <c r="R8" s="31"/>
    </row>
    <row r="9" spans="2:18" ht="15.75" customHeight="1" x14ac:dyDescent="0.25">
      <c r="B9" s="34"/>
      <c r="C9" s="29"/>
      <c r="D9" s="29"/>
      <c r="E9" s="69"/>
      <c r="F9" s="36"/>
      <c r="G9" s="51"/>
      <c r="H9" s="51"/>
      <c r="I9" s="51"/>
      <c r="J9" s="68"/>
      <c r="K9" s="35"/>
      <c r="L9" s="35"/>
      <c r="M9" s="29"/>
      <c r="N9" s="56"/>
      <c r="O9" s="30"/>
      <c r="P9" s="30"/>
      <c r="Q9" s="30"/>
      <c r="R9" s="31"/>
    </row>
    <row r="10" spans="2:18" ht="15.75" customHeight="1" x14ac:dyDescent="0.25">
      <c r="B10" s="34"/>
      <c r="C10" s="35"/>
      <c r="D10" s="29" t="s">
        <v>58</v>
      </c>
      <c r="E10" s="55">
        <f>IF(C4="Module", E78,E78/25.4)</f>
        <v>3.2893980000000003</v>
      </c>
      <c r="F10" s="30" t="str">
        <f>IF(C4="DP", "Inch","mm")</f>
        <v>mm</v>
      </c>
      <c r="G10" s="29" t="s">
        <v>121</v>
      </c>
      <c r="H10" s="56">
        <f>IF(C4="DP",H84,E84)</f>
        <v>2.6703514999999998</v>
      </c>
      <c r="I10" s="30" t="str">
        <f>IF(C4="DP", "Inch)","mm)")</f>
        <v>mm)</v>
      </c>
      <c r="J10" s="68"/>
      <c r="K10" s="28" t="str">
        <f>N56</f>
        <v>1/3 Ogive Profile B</v>
      </c>
      <c r="L10" s="60"/>
      <c r="M10" s="29" t="s">
        <v>55</v>
      </c>
      <c r="N10" s="55">
        <f>IF(L4="Module", N76,N76/25.4)</f>
        <v>1.3939999999999999</v>
      </c>
      <c r="O10" s="30" t="str">
        <f>IF(L4="DP", "Inch","mm")</f>
        <v>mm</v>
      </c>
      <c r="P10" s="29" t="s">
        <v>61</v>
      </c>
      <c r="Q10" s="56">
        <f>IF(L4="Module", N60,N60/25.4)</f>
        <v>9.8685000000000009</v>
      </c>
      <c r="R10" s="31" t="str">
        <f>IF(L4="DP", "Inch","mm")</f>
        <v>mm</v>
      </c>
    </row>
    <row r="11" spans="2:18" ht="15.75" customHeight="1" x14ac:dyDescent="0.25">
      <c r="B11" s="37"/>
      <c r="C11" s="30"/>
      <c r="D11" s="29" t="s">
        <v>38</v>
      </c>
      <c r="E11" s="38">
        <f>E65</f>
        <v>2</v>
      </c>
      <c r="F11" s="30" t="s">
        <v>18</v>
      </c>
      <c r="G11" s="29" t="s">
        <v>27</v>
      </c>
      <c r="H11" s="56">
        <f>IF(C4="Module", E70,E70/25.4)</f>
        <v>53.345999999999997</v>
      </c>
      <c r="I11" s="31" t="str">
        <f>IF(C4="DP", "Inch","mm")</f>
        <v>mm</v>
      </c>
      <c r="K11" s="37"/>
      <c r="L11" s="30"/>
      <c r="M11" s="29" t="s">
        <v>38</v>
      </c>
      <c r="N11" s="38">
        <f>N68</f>
        <v>10.799999999999999</v>
      </c>
      <c r="O11" s="30" t="s">
        <v>18</v>
      </c>
      <c r="P11" s="29" t="s">
        <v>8</v>
      </c>
      <c r="Q11" s="55">
        <f>IF(L4="Module", N62,N62/25.4)</f>
        <v>5.0150000000000006</v>
      </c>
      <c r="R11" s="31" t="str">
        <f>IF(L4="DP", "Inch","mm")</f>
        <v>mm</v>
      </c>
    </row>
    <row r="12" spans="2:18" ht="15.75" customHeight="1" x14ac:dyDescent="0.25">
      <c r="B12" s="37"/>
      <c r="C12" s="35"/>
      <c r="D12" s="29" t="s">
        <v>104</v>
      </c>
      <c r="E12" s="56">
        <f>IF(C4="Module", E80,E80/25.4)</f>
        <v>1.1021205074627924</v>
      </c>
      <c r="F12" s="30" t="str">
        <f>IF(C4="DP", "Inch","mm")</f>
        <v>mm</v>
      </c>
      <c r="G12" s="29" t="s">
        <v>8</v>
      </c>
      <c r="H12" s="55">
        <f>IF(C4="Module", E72,E72/25.4)</f>
        <v>47.596429999999998</v>
      </c>
      <c r="I12" s="31" t="str">
        <f>IF(C4="DP", "Inch","mm")</f>
        <v>mm</v>
      </c>
      <c r="K12" s="37"/>
      <c r="L12" s="35"/>
      <c r="M12" s="29" t="s">
        <v>104</v>
      </c>
      <c r="N12" s="56">
        <f>IF(L4="Module", N78,N78/25.4)</f>
        <v>0.7157</v>
      </c>
      <c r="O12" s="30" t="str">
        <f>IF(L4="DP", "Inch","mm")</f>
        <v>mm</v>
      </c>
      <c r="P12" s="30"/>
      <c r="Q12" s="30"/>
      <c r="R12" s="31"/>
    </row>
    <row r="13" spans="2:18" ht="15.75" customHeight="1" x14ac:dyDescent="0.25">
      <c r="B13" s="37"/>
      <c r="C13" s="35"/>
      <c r="D13" s="29" t="s">
        <v>119</v>
      </c>
      <c r="E13" s="56">
        <f>IF(C4="DP", H83,E83)</f>
        <v>1.4313977333780477</v>
      </c>
      <c r="F13" s="30" t="str">
        <f>IF(C4="DP", "Inch","mm")</f>
        <v>mm</v>
      </c>
      <c r="G13" s="30"/>
      <c r="H13" s="30"/>
      <c r="I13" s="31"/>
      <c r="K13" s="37"/>
      <c r="L13" s="35"/>
      <c r="M13" s="29" t="s">
        <v>119</v>
      </c>
      <c r="N13" s="56">
        <f>IF(L4="DP", Q81,N81)</f>
        <v>1.7005855910676888</v>
      </c>
      <c r="O13" s="30" t="str">
        <f>IF(L4="DP", "Inch","mm")</f>
        <v>mm</v>
      </c>
      <c r="P13" s="30"/>
      <c r="Q13" s="30"/>
      <c r="R13" s="31"/>
    </row>
    <row r="14" spans="2:18" ht="15.75" customHeight="1" x14ac:dyDescent="0.25">
      <c r="B14" s="37"/>
      <c r="C14" s="30"/>
      <c r="D14" s="29" t="s">
        <v>130</v>
      </c>
      <c r="E14" s="56">
        <f>IF(C4="Module", E81,E81/25.4)</f>
        <v>3.0854999999999997</v>
      </c>
      <c r="F14" s="30" t="str">
        <f>IF(C4="DP", "Inch","mm")</f>
        <v>mm</v>
      </c>
      <c r="G14" s="30"/>
      <c r="H14" s="30"/>
      <c r="I14" s="31"/>
      <c r="K14" s="37"/>
      <c r="L14" s="30"/>
      <c r="M14" s="29" t="s">
        <v>131</v>
      </c>
      <c r="N14" s="56">
        <f>IF(L4="Module", N79,N79/25.4)</f>
        <v>2.2355</v>
      </c>
      <c r="O14" s="30" t="str">
        <f>IF(L4="DP", "Inch","mm")</f>
        <v>mm</v>
      </c>
      <c r="P14" s="30"/>
      <c r="Q14" s="30"/>
      <c r="R14" s="31"/>
    </row>
    <row r="15" spans="2:18" ht="15.75" customHeight="1" x14ac:dyDescent="0.25">
      <c r="B15" s="37"/>
      <c r="C15" s="30"/>
      <c r="D15" s="29" t="s">
        <v>123</v>
      </c>
      <c r="E15" s="56">
        <f>IF(C4="Module", E79,E79/25.4)</f>
        <v>1.2169888167874086</v>
      </c>
      <c r="F15" s="30" t="str">
        <f>IF(C4="DP", "Inch","mm")</f>
        <v>mm</v>
      </c>
      <c r="G15" s="30"/>
      <c r="H15" s="30"/>
      <c r="I15" s="31"/>
      <c r="K15" s="37"/>
      <c r="L15" s="30"/>
      <c r="M15" s="29" t="s">
        <v>123</v>
      </c>
      <c r="N15" s="55">
        <f>IF(L4="Module", N77,N77/25.4)</f>
        <v>0.9566624141261123</v>
      </c>
      <c r="O15" s="30" t="str">
        <f>IF(L4="DP", "Inch","mm")</f>
        <v>mm</v>
      </c>
      <c r="P15" s="30"/>
      <c r="Q15" s="30"/>
      <c r="R15" s="31"/>
    </row>
    <row r="16" spans="2:18" ht="15.75" customHeight="1" thickBot="1" x14ac:dyDescent="0.3">
      <c r="B16" s="43"/>
      <c r="C16" s="44"/>
      <c r="D16" s="44"/>
      <c r="E16" s="44"/>
      <c r="F16" s="44"/>
      <c r="G16" s="44"/>
      <c r="H16" s="44"/>
      <c r="I16" s="45"/>
      <c r="K16" s="43"/>
      <c r="L16" s="44"/>
      <c r="M16" s="44"/>
      <c r="N16" s="44"/>
      <c r="O16" s="44"/>
      <c r="P16" s="44"/>
      <c r="Q16" s="44"/>
      <c r="R16" s="45"/>
    </row>
    <row r="17" spans="2:18" x14ac:dyDescent="0.25">
      <c r="B17" s="17"/>
      <c r="C17" s="18"/>
      <c r="D17" s="18"/>
      <c r="E17" s="18"/>
      <c r="F17" s="18"/>
      <c r="G17" s="18"/>
      <c r="H17" s="18"/>
      <c r="I17" s="19"/>
      <c r="K17" s="14"/>
      <c r="L17" s="15"/>
      <c r="M17" s="15"/>
      <c r="N17" s="15"/>
      <c r="O17" s="15"/>
      <c r="P17" s="15"/>
      <c r="Q17" s="15"/>
      <c r="R17" s="16"/>
    </row>
    <row r="18" spans="2:18" x14ac:dyDescent="0.25">
      <c r="B18" s="17"/>
      <c r="C18" s="18"/>
      <c r="D18" s="18"/>
      <c r="E18" s="18"/>
      <c r="F18" s="18"/>
      <c r="G18" s="18"/>
      <c r="H18" s="18"/>
      <c r="I18" s="19"/>
      <c r="K18" s="17"/>
      <c r="L18" s="18"/>
      <c r="M18" s="18"/>
      <c r="N18" s="18"/>
      <c r="O18" s="18"/>
      <c r="P18" s="18"/>
      <c r="Q18" s="18"/>
      <c r="R18" s="19"/>
    </row>
    <row r="19" spans="2:18" x14ac:dyDescent="0.25">
      <c r="B19" s="17"/>
      <c r="C19" s="18"/>
      <c r="D19" s="18"/>
      <c r="E19" s="18"/>
      <c r="F19" s="18"/>
      <c r="G19" s="18"/>
      <c r="H19" s="18"/>
      <c r="I19" s="19"/>
      <c r="K19" s="17"/>
      <c r="L19" s="18"/>
      <c r="M19" s="18"/>
      <c r="N19" s="18"/>
      <c r="O19" s="18"/>
      <c r="P19" s="18"/>
      <c r="Q19" s="18"/>
      <c r="R19" s="19"/>
    </row>
    <row r="20" spans="2:18" x14ac:dyDescent="0.25">
      <c r="B20" s="17"/>
      <c r="C20" s="18"/>
      <c r="D20" s="18"/>
      <c r="E20" s="18"/>
      <c r="F20" s="18"/>
      <c r="G20" s="18"/>
      <c r="H20" s="18"/>
      <c r="I20" s="19"/>
      <c r="K20" s="17"/>
      <c r="L20" s="18"/>
      <c r="M20" s="18"/>
      <c r="N20" s="18"/>
      <c r="O20" s="18"/>
      <c r="P20" s="18"/>
      <c r="Q20" s="18"/>
      <c r="R20" s="19"/>
    </row>
    <row r="21" spans="2:18" x14ac:dyDescent="0.25">
      <c r="B21" s="17"/>
      <c r="C21" s="18"/>
      <c r="D21" s="18"/>
      <c r="E21" s="18"/>
      <c r="F21" s="18"/>
      <c r="G21" s="18"/>
      <c r="H21" s="18"/>
      <c r="I21" s="19"/>
      <c r="K21" s="17"/>
      <c r="L21" s="18"/>
      <c r="M21" s="18"/>
      <c r="N21" s="18"/>
      <c r="O21" s="18"/>
      <c r="P21" s="18"/>
      <c r="Q21" s="18"/>
      <c r="R21" s="19"/>
    </row>
    <row r="22" spans="2:18" x14ac:dyDescent="0.25">
      <c r="B22" s="17"/>
      <c r="C22" s="20"/>
      <c r="D22" s="18"/>
      <c r="E22" s="18"/>
      <c r="F22" s="18"/>
      <c r="G22" s="18"/>
      <c r="H22" s="18"/>
      <c r="I22" s="19"/>
      <c r="K22" s="17"/>
      <c r="L22" s="18"/>
      <c r="M22" s="18"/>
      <c r="N22" s="18"/>
      <c r="O22" s="18"/>
      <c r="P22" s="18"/>
      <c r="Q22" s="18"/>
      <c r="R22" s="19"/>
    </row>
    <row r="23" spans="2:18" x14ac:dyDescent="0.25">
      <c r="B23" s="17"/>
      <c r="C23" s="20"/>
      <c r="D23" s="18"/>
      <c r="E23" s="18"/>
      <c r="F23" s="18"/>
      <c r="G23" s="18"/>
      <c r="H23" s="18"/>
      <c r="I23" s="19"/>
      <c r="K23" s="17"/>
      <c r="L23" s="18"/>
      <c r="M23" s="18"/>
      <c r="N23" s="18"/>
      <c r="O23" s="18"/>
      <c r="P23" s="18"/>
      <c r="Q23" s="18"/>
      <c r="R23" s="19"/>
    </row>
    <row r="24" spans="2:18" x14ac:dyDescent="0.25">
      <c r="B24" s="17"/>
      <c r="C24" s="18"/>
      <c r="D24" s="18"/>
      <c r="E24" s="18"/>
      <c r="F24" s="18"/>
      <c r="G24" s="18"/>
      <c r="H24" s="18"/>
      <c r="I24" s="19"/>
      <c r="K24" s="17"/>
      <c r="L24" s="18"/>
      <c r="M24" s="18"/>
      <c r="N24" s="18"/>
      <c r="O24" s="18"/>
      <c r="P24" s="18"/>
      <c r="Q24" s="18"/>
      <c r="R24" s="19"/>
    </row>
    <row r="25" spans="2:18" x14ac:dyDescent="0.25">
      <c r="B25" s="17"/>
      <c r="C25" s="18"/>
      <c r="D25" s="18"/>
      <c r="E25" s="18"/>
      <c r="F25" s="18"/>
      <c r="G25" s="18"/>
      <c r="H25" s="18"/>
      <c r="I25" s="19"/>
      <c r="K25" s="17"/>
      <c r="L25" s="18"/>
      <c r="M25" s="18"/>
      <c r="N25" s="18"/>
      <c r="O25" s="18"/>
      <c r="P25" s="18"/>
      <c r="Q25" s="18"/>
      <c r="R25" s="19"/>
    </row>
    <row r="26" spans="2:18" x14ac:dyDescent="0.25">
      <c r="B26" s="17"/>
      <c r="C26" s="18"/>
      <c r="D26" s="18"/>
      <c r="E26" s="18"/>
      <c r="F26" s="18"/>
      <c r="G26" s="18"/>
      <c r="H26" s="18"/>
      <c r="I26" s="19"/>
      <c r="K26" s="17"/>
      <c r="L26" s="18"/>
      <c r="M26" s="18"/>
      <c r="N26" s="18"/>
      <c r="O26" s="18"/>
      <c r="P26" s="18"/>
      <c r="Q26" s="18"/>
      <c r="R26" s="19"/>
    </row>
    <row r="27" spans="2:18" x14ac:dyDescent="0.25">
      <c r="B27" s="17"/>
      <c r="C27" s="18"/>
      <c r="D27" s="18"/>
      <c r="E27" s="18"/>
      <c r="F27" s="18"/>
      <c r="G27" s="18"/>
      <c r="H27" s="18"/>
      <c r="I27" s="19"/>
      <c r="K27" s="17"/>
      <c r="L27" s="18"/>
      <c r="M27" s="18"/>
      <c r="N27" s="18"/>
      <c r="O27" s="18"/>
      <c r="P27" s="18"/>
      <c r="Q27" s="18"/>
      <c r="R27" s="19"/>
    </row>
    <row r="28" spans="2:18" x14ac:dyDescent="0.25">
      <c r="B28" s="17"/>
      <c r="C28" s="18"/>
      <c r="D28" s="18"/>
      <c r="E28" s="18"/>
      <c r="F28" s="18"/>
      <c r="G28" s="18"/>
      <c r="H28" s="18"/>
      <c r="I28" s="19"/>
      <c r="K28" s="17"/>
      <c r="L28" s="18"/>
      <c r="M28" s="18"/>
      <c r="N28" s="18"/>
      <c r="O28" s="18"/>
      <c r="P28" s="18"/>
      <c r="Q28" s="18"/>
      <c r="R28" s="19"/>
    </row>
    <row r="29" spans="2:18" x14ac:dyDescent="0.25">
      <c r="B29" s="17"/>
      <c r="C29" s="18"/>
      <c r="D29" s="18"/>
      <c r="E29" s="18"/>
      <c r="F29" s="18"/>
      <c r="G29" s="18"/>
      <c r="H29" s="18"/>
      <c r="I29" s="19"/>
      <c r="K29" s="17"/>
      <c r="L29" s="18"/>
      <c r="M29" s="18"/>
      <c r="N29" s="18"/>
      <c r="O29" s="18"/>
      <c r="P29" s="18"/>
      <c r="Q29" s="18"/>
      <c r="R29" s="19"/>
    </row>
    <row r="30" spans="2:18" x14ac:dyDescent="0.25">
      <c r="B30" s="17"/>
      <c r="C30" s="18"/>
      <c r="D30" s="18"/>
      <c r="E30" s="18"/>
      <c r="F30" s="18"/>
      <c r="G30" s="18"/>
      <c r="H30" s="18"/>
      <c r="I30" s="19"/>
      <c r="K30" s="17"/>
      <c r="L30" s="18"/>
      <c r="M30" s="18"/>
      <c r="N30" s="18"/>
      <c r="O30" s="18"/>
      <c r="P30" s="18"/>
      <c r="Q30" s="18"/>
      <c r="R30" s="19"/>
    </row>
    <row r="31" spans="2:18" x14ac:dyDescent="0.25">
      <c r="B31" s="17"/>
      <c r="C31" s="18"/>
      <c r="D31" s="18"/>
      <c r="E31" s="18"/>
      <c r="F31" s="18"/>
      <c r="G31" s="18"/>
      <c r="H31" s="18"/>
      <c r="I31" s="19"/>
      <c r="K31" s="17"/>
      <c r="L31" s="18"/>
      <c r="M31" s="18"/>
      <c r="N31" s="18"/>
      <c r="O31" s="18"/>
      <c r="P31" s="18"/>
      <c r="Q31" s="18"/>
      <c r="R31" s="19"/>
    </row>
    <row r="32" spans="2:18" x14ac:dyDescent="0.25">
      <c r="B32" s="17"/>
      <c r="C32" s="18"/>
      <c r="D32" s="18"/>
      <c r="E32" s="18"/>
      <c r="F32" s="18"/>
      <c r="G32" s="18"/>
      <c r="H32" s="18"/>
      <c r="I32" s="19"/>
      <c r="K32" s="17"/>
      <c r="L32" s="18"/>
      <c r="M32" s="18"/>
      <c r="N32" s="18"/>
      <c r="O32" s="18"/>
      <c r="P32" s="18"/>
      <c r="Q32" s="18"/>
      <c r="R32" s="19"/>
    </row>
    <row r="33" spans="2:20" x14ac:dyDescent="0.25">
      <c r="B33" s="17"/>
      <c r="C33" s="18"/>
      <c r="D33" s="18"/>
      <c r="E33" s="18"/>
      <c r="F33" s="18"/>
      <c r="G33" s="18"/>
      <c r="H33" s="18"/>
      <c r="I33" s="19"/>
      <c r="K33" s="17"/>
      <c r="L33" s="18"/>
      <c r="M33" s="18"/>
      <c r="N33" s="18"/>
      <c r="O33" s="18"/>
      <c r="P33" s="18"/>
      <c r="Q33" s="18"/>
      <c r="R33" s="19"/>
    </row>
    <row r="34" spans="2:20" x14ac:dyDescent="0.25">
      <c r="B34" s="17"/>
      <c r="C34" s="18"/>
      <c r="D34" s="18"/>
      <c r="E34" s="18"/>
      <c r="F34" s="18"/>
      <c r="G34" s="18"/>
      <c r="H34" s="18"/>
      <c r="I34" s="19"/>
      <c r="K34" s="17"/>
      <c r="L34" s="18"/>
      <c r="M34" s="18"/>
      <c r="N34" s="18"/>
      <c r="O34" s="18"/>
      <c r="P34" s="18"/>
      <c r="Q34" s="18"/>
      <c r="R34" s="19"/>
    </row>
    <row r="35" spans="2:20" x14ac:dyDescent="0.25">
      <c r="B35" s="17"/>
      <c r="C35" s="18"/>
      <c r="D35" s="18"/>
      <c r="E35" s="18"/>
      <c r="F35" s="18"/>
      <c r="G35" s="18"/>
      <c r="H35" s="18"/>
      <c r="I35" s="19"/>
      <c r="K35" s="17"/>
      <c r="L35" s="18"/>
      <c r="M35" s="18"/>
      <c r="N35" s="18"/>
      <c r="O35" s="18"/>
      <c r="P35" s="18"/>
      <c r="Q35" s="18"/>
      <c r="R35" s="19"/>
    </row>
    <row r="36" spans="2:20" x14ac:dyDescent="0.25">
      <c r="B36" s="17"/>
      <c r="C36" s="20"/>
      <c r="D36" s="18"/>
      <c r="E36" s="18"/>
      <c r="F36" s="18"/>
      <c r="G36" s="18"/>
      <c r="H36" s="18"/>
      <c r="I36" s="19"/>
      <c r="K36" s="17"/>
      <c r="L36" s="18"/>
      <c r="M36" s="18"/>
      <c r="N36" s="18"/>
      <c r="O36" s="18"/>
      <c r="P36" s="18"/>
      <c r="Q36" s="18"/>
      <c r="R36" s="19"/>
    </row>
    <row r="37" spans="2:20" x14ac:dyDescent="0.25">
      <c r="B37" s="17"/>
      <c r="C37" s="20"/>
      <c r="D37" s="18"/>
      <c r="E37" s="18"/>
      <c r="F37" s="18"/>
      <c r="G37" s="18"/>
      <c r="H37" s="18"/>
      <c r="I37" s="19"/>
      <c r="K37" s="17"/>
      <c r="L37" s="18"/>
      <c r="M37" s="18"/>
      <c r="N37" s="18"/>
      <c r="O37" s="18"/>
      <c r="P37" s="18"/>
      <c r="Q37" s="18"/>
      <c r="R37" s="19"/>
    </row>
    <row r="38" spans="2:20" x14ac:dyDescent="0.25">
      <c r="B38" s="17"/>
      <c r="C38" s="18"/>
      <c r="D38" s="18"/>
      <c r="E38" s="18"/>
      <c r="F38" s="18"/>
      <c r="G38" s="18"/>
      <c r="H38" s="18"/>
      <c r="I38" s="19"/>
      <c r="K38" s="17"/>
      <c r="L38" s="18"/>
      <c r="M38" s="18"/>
      <c r="N38" s="18"/>
      <c r="O38" s="18"/>
      <c r="P38" s="18"/>
      <c r="Q38" s="18"/>
      <c r="R38" s="19"/>
    </row>
    <row r="39" spans="2:20" x14ac:dyDescent="0.25">
      <c r="B39" s="17"/>
      <c r="C39" s="18"/>
      <c r="D39" s="18"/>
      <c r="E39" s="18"/>
      <c r="F39" s="18"/>
      <c r="G39" s="18"/>
      <c r="H39" s="18"/>
      <c r="I39" s="19"/>
      <c r="K39" s="17"/>
      <c r="L39" s="18"/>
      <c r="M39" s="18"/>
      <c r="N39" s="18"/>
      <c r="O39" s="18"/>
      <c r="P39" s="18"/>
      <c r="Q39" s="18"/>
      <c r="R39" s="19"/>
    </row>
    <row r="40" spans="2:20" x14ac:dyDescent="0.25">
      <c r="B40" s="17"/>
      <c r="C40" s="18"/>
      <c r="D40" s="18"/>
      <c r="E40" s="18"/>
      <c r="F40" s="18"/>
      <c r="G40" s="18"/>
      <c r="H40" s="18"/>
      <c r="I40" s="19"/>
      <c r="K40" s="17"/>
      <c r="L40" s="18"/>
      <c r="M40" s="18"/>
      <c r="N40" s="18"/>
      <c r="O40" s="18"/>
      <c r="P40" s="18"/>
      <c r="Q40" s="18"/>
      <c r="R40" s="19"/>
    </row>
    <row r="41" spans="2:20" x14ac:dyDescent="0.25">
      <c r="B41" s="17"/>
      <c r="C41" s="18"/>
      <c r="D41" s="18"/>
      <c r="E41" s="18"/>
      <c r="F41" s="18"/>
      <c r="G41" s="18"/>
      <c r="H41" s="18"/>
      <c r="I41" s="19"/>
      <c r="K41" s="17"/>
      <c r="L41" s="18"/>
      <c r="M41" s="18"/>
      <c r="N41" s="18"/>
      <c r="O41" s="18"/>
      <c r="P41" s="18"/>
      <c r="Q41" s="18"/>
      <c r="R41" s="19"/>
    </row>
    <row r="42" spans="2:20" ht="15.75" thickBot="1" x14ac:dyDescent="0.3">
      <c r="B42" s="21"/>
      <c r="C42" s="22"/>
      <c r="D42" s="22"/>
      <c r="E42" s="22"/>
      <c r="F42" s="22"/>
      <c r="G42" s="22"/>
      <c r="H42" s="22"/>
      <c r="I42" s="23"/>
      <c r="K42" s="21"/>
      <c r="L42" s="22"/>
      <c r="M42" s="22"/>
      <c r="N42" s="22"/>
      <c r="O42" s="22"/>
      <c r="P42" s="22"/>
      <c r="Q42" s="22"/>
      <c r="R42" s="23"/>
    </row>
    <row r="43" spans="2:20" hidden="1" x14ac:dyDescent="0.25">
      <c r="B43" s="18"/>
      <c r="C43" s="18"/>
      <c r="D43" s="18"/>
      <c r="E43" s="18"/>
      <c r="F43" s="18"/>
      <c r="G43" s="18"/>
      <c r="H43" s="18"/>
      <c r="I43" s="18"/>
    </row>
    <row r="44" spans="2:20" ht="16.5" hidden="1" customHeight="1" x14ac:dyDescent="0.25">
      <c r="D44" s="6" t="s">
        <v>0</v>
      </c>
      <c r="E44" s="1" t="s">
        <v>71</v>
      </c>
      <c r="M44" s="6" t="s">
        <v>0</v>
      </c>
      <c r="N44" s="1" t="s">
        <v>72</v>
      </c>
    </row>
    <row r="45" spans="2:20" ht="18" hidden="1" customHeight="1" x14ac:dyDescent="0.25"/>
    <row r="46" spans="2:20" ht="16.5" hidden="1" customHeight="1" x14ac:dyDescent="0.25">
      <c r="C46" s="2"/>
      <c r="D46" s="2" t="s">
        <v>24</v>
      </c>
      <c r="E46" s="10">
        <v>45</v>
      </c>
      <c r="K46" s="2"/>
      <c r="L46" s="2"/>
      <c r="M46" s="2" t="s">
        <v>1</v>
      </c>
      <c r="N46" s="4">
        <f>IF(N75&gt;=10,0.805,0.855)</f>
        <v>0.80500000000000005</v>
      </c>
      <c r="T46" s="97"/>
    </row>
    <row r="47" spans="2:20" ht="15.75" hidden="1" customHeight="1" x14ac:dyDescent="0.25">
      <c r="B47" s="2"/>
      <c r="C47" s="2"/>
      <c r="D47" s="2" t="s">
        <v>1</v>
      </c>
      <c r="E47" s="4">
        <v>1.3821000000000001</v>
      </c>
      <c r="K47" s="2"/>
      <c r="L47" s="2"/>
      <c r="M47" s="2" t="s">
        <v>2</v>
      </c>
      <c r="N47" s="3">
        <f>IF(N75&gt;=10,0.82,1.05)</f>
        <v>0.82</v>
      </c>
      <c r="T47" s="98"/>
    </row>
    <row r="48" spans="2:20" ht="16.5" hidden="1" customHeight="1" x14ac:dyDescent="0.25">
      <c r="B48" s="2"/>
      <c r="C48" s="2"/>
      <c r="D48" s="2" t="s">
        <v>2</v>
      </c>
      <c r="E48" s="4">
        <v>1.9349400000000001</v>
      </c>
      <c r="K48" s="2"/>
      <c r="L48" s="2"/>
      <c r="M48" s="2" t="s">
        <v>4</v>
      </c>
      <c r="N48" s="3">
        <f>IF(N75&gt;=10,0.4,1/3)</f>
        <v>0.4</v>
      </c>
    </row>
    <row r="49" spans="2:18" ht="17.25" hidden="1" customHeight="1" x14ac:dyDescent="0.25">
      <c r="B49" s="2"/>
      <c r="C49" s="2"/>
      <c r="D49" s="2" t="s">
        <v>23</v>
      </c>
      <c r="E49" s="8" t="str">
        <f>IF(AND(E77&gt;=0.5,E77&lt;=1),"2","1.57")</f>
        <v>2</v>
      </c>
      <c r="K49" s="2"/>
      <c r="L49" s="2"/>
      <c r="M49" s="2" t="s">
        <v>3</v>
      </c>
      <c r="N49" s="3">
        <f>IF(N75&gt;=10,1.25,1.05)</f>
        <v>1.25</v>
      </c>
    </row>
    <row r="50" spans="2:18" ht="16.5" hidden="1" customHeight="1" x14ac:dyDescent="0.25">
      <c r="B50" s="2"/>
      <c r="C50" s="2"/>
      <c r="D50" s="2"/>
      <c r="K50" s="2"/>
      <c r="L50" s="2"/>
      <c r="M50" s="2" t="s">
        <v>9</v>
      </c>
      <c r="N50" s="3">
        <f>IF(N75=6,2.84,IF(N75=7,3.3,IF(N75=8,4.2,IF(N75=9,5,IF(N75=10,5.9,IF(N75=11,6.9,IF(N75=12,7.8,IF(N75=13,8.8,IF(N75=14,9.8,IF(N75=15,10.8,11.8))))))))))</f>
        <v>5.9</v>
      </c>
    </row>
    <row r="51" spans="2:18" ht="16.5" hidden="1" customHeight="1" x14ac:dyDescent="0.25">
      <c r="B51" s="2"/>
      <c r="C51" s="2"/>
      <c r="D51" s="2"/>
      <c r="K51" s="2"/>
      <c r="L51" s="2"/>
      <c r="M51" s="2"/>
      <c r="N51" s="3"/>
    </row>
    <row r="52" spans="2:18" ht="15" hidden="1" customHeight="1" x14ac:dyDescent="0.25">
      <c r="B52" s="2"/>
      <c r="C52" s="2"/>
      <c r="F52" s="6" t="s">
        <v>25</v>
      </c>
      <c r="G52" s="40" t="s">
        <v>80</v>
      </c>
      <c r="H52" s="40"/>
      <c r="I52" s="40"/>
      <c r="J52" s="40"/>
      <c r="K52" s="40"/>
      <c r="M52" s="2"/>
    </row>
    <row r="53" spans="2:18" ht="15" hidden="1" customHeight="1" x14ac:dyDescent="0.25">
      <c r="B53" s="2"/>
      <c r="C53" s="2"/>
      <c r="E53" s="6"/>
      <c r="F53" s="40"/>
      <c r="G53" s="40"/>
      <c r="H53" s="40"/>
      <c r="I53" s="40"/>
      <c r="J53" s="40"/>
      <c r="L53" s="2"/>
      <c r="M53" s="2"/>
    </row>
    <row r="54" spans="2:18" ht="14.25" hidden="1" customHeight="1" x14ac:dyDescent="0.25">
      <c r="B54" s="2"/>
      <c r="C54" s="2"/>
      <c r="K54" s="2"/>
      <c r="L54" s="2"/>
      <c r="M54" s="6" t="s">
        <v>16</v>
      </c>
    </row>
    <row r="55" spans="2:18" ht="14.25" hidden="1" customHeight="1" x14ac:dyDescent="0.25">
      <c r="C55" s="2"/>
      <c r="D55" s="2" t="s">
        <v>5</v>
      </c>
      <c r="E55" s="3">
        <f>E47*E77</f>
        <v>1.174785</v>
      </c>
      <c r="F55" s="1" t="s">
        <v>12</v>
      </c>
      <c r="K55" s="2"/>
      <c r="L55" s="2"/>
    </row>
    <row r="56" spans="2:18" ht="15.75" hidden="1" customHeight="1" x14ac:dyDescent="0.25">
      <c r="B56" s="2"/>
      <c r="C56" s="2"/>
      <c r="D56" s="2" t="s">
        <v>35</v>
      </c>
      <c r="E56" s="3">
        <f>E48*E77</f>
        <v>1.6446990000000001</v>
      </c>
      <c r="F56" s="1" t="s">
        <v>12</v>
      </c>
      <c r="K56" s="2"/>
      <c r="L56" s="2"/>
      <c r="M56" s="2" t="s">
        <v>22</v>
      </c>
      <c r="N56" s="7" t="str">
        <f>IF(N75&gt;=10,"1/3 Ogive Profile B","Full Ogive Profile C")</f>
        <v>1/3 Ogive Profile B</v>
      </c>
    </row>
    <row r="57" spans="2:18" ht="15.75" hidden="1" customHeight="1" x14ac:dyDescent="0.25">
      <c r="B57" s="2"/>
      <c r="C57" s="2"/>
      <c r="D57" s="2" t="s">
        <v>11</v>
      </c>
      <c r="E57" s="3">
        <f>E49*E77</f>
        <v>1.7</v>
      </c>
      <c r="F57" s="1" t="s">
        <v>12</v>
      </c>
      <c r="L57" s="2"/>
      <c r="M57" s="2" t="s">
        <v>5</v>
      </c>
      <c r="N57" s="3">
        <f>N74*N46</f>
        <v>0.68425000000000002</v>
      </c>
      <c r="O57" s="1" t="s">
        <v>12</v>
      </c>
    </row>
    <row r="58" spans="2:18" ht="17.25" hidden="1" customHeight="1" x14ac:dyDescent="0.25">
      <c r="B58" s="2"/>
      <c r="C58" s="2"/>
      <c r="D58" s="2" t="s">
        <v>28</v>
      </c>
      <c r="E58" s="3">
        <f>E59+(2*E55)</f>
        <v>40.59957</v>
      </c>
      <c r="F58" s="1" t="s">
        <v>12</v>
      </c>
      <c r="K58" s="2"/>
      <c r="L58" s="2"/>
      <c r="M58" s="2" t="s">
        <v>6</v>
      </c>
      <c r="N58" s="3">
        <f>N47*N74</f>
        <v>0.69699999999999995</v>
      </c>
      <c r="O58" s="1" t="s">
        <v>12</v>
      </c>
    </row>
    <row r="59" spans="2:18" ht="17.25" hidden="1" customHeight="1" x14ac:dyDescent="0.25">
      <c r="B59" s="2"/>
      <c r="C59" s="2"/>
      <c r="D59" s="2" t="s">
        <v>29</v>
      </c>
      <c r="E59" s="3">
        <f>E46*E77</f>
        <v>38.25</v>
      </c>
      <c r="F59" s="1" t="s">
        <v>12</v>
      </c>
      <c r="K59" s="2"/>
      <c r="L59" s="2"/>
      <c r="M59" s="2" t="s">
        <v>11</v>
      </c>
      <c r="N59" s="3">
        <f>(N61-N62)/2</f>
        <v>1.7424999999999997</v>
      </c>
      <c r="O59" s="1" t="s">
        <v>12</v>
      </c>
    </row>
    <row r="60" spans="2:18" ht="18" hidden="1" customHeight="1" x14ac:dyDescent="0.25">
      <c r="B60" s="2"/>
      <c r="C60" s="2"/>
      <c r="D60" s="2" t="s">
        <v>30</v>
      </c>
      <c r="E60" s="3">
        <f>E59-(2*E57)</f>
        <v>34.85</v>
      </c>
      <c r="F60" s="1" t="s">
        <v>12</v>
      </c>
      <c r="K60" s="2"/>
      <c r="L60" s="2"/>
      <c r="M60" s="2" t="s">
        <v>10</v>
      </c>
      <c r="N60" s="3">
        <f>N61+(2*N57)</f>
        <v>9.8685000000000009</v>
      </c>
      <c r="O60" s="1" t="s">
        <v>12</v>
      </c>
      <c r="Q60" s="4">
        <f>N60/25.4</f>
        <v>0.38852362204724417</v>
      </c>
      <c r="R60" s="1" t="s">
        <v>68</v>
      </c>
    </row>
    <row r="61" spans="2:18" ht="15" hidden="1" customHeight="1" x14ac:dyDescent="0.25">
      <c r="B61" s="2"/>
      <c r="C61" s="2"/>
      <c r="D61" s="2" t="s">
        <v>19</v>
      </c>
      <c r="E61" s="3">
        <f>1.57*E77</f>
        <v>1.3345</v>
      </c>
      <c r="F61" s="1" t="s">
        <v>12</v>
      </c>
      <c r="K61" s="2"/>
      <c r="L61" s="2"/>
      <c r="M61" s="2" t="s">
        <v>7</v>
      </c>
      <c r="N61" s="3">
        <f>N74*N75</f>
        <v>8.5</v>
      </c>
      <c r="O61" s="1" t="s">
        <v>12</v>
      </c>
    </row>
    <row r="62" spans="2:18" ht="15" hidden="1" customHeight="1" x14ac:dyDescent="0.25">
      <c r="B62" s="2"/>
      <c r="C62" s="2"/>
      <c r="D62" s="2" t="s">
        <v>21</v>
      </c>
      <c r="E62" s="3">
        <f>E55+E57</f>
        <v>2.8747850000000001</v>
      </c>
      <c r="F62" s="1" t="s">
        <v>12</v>
      </c>
      <c r="K62" s="2"/>
      <c r="L62" s="2"/>
      <c r="M62" s="2" t="s">
        <v>8</v>
      </c>
      <c r="N62" s="3">
        <f>N74*N50</f>
        <v>5.0150000000000006</v>
      </c>
      <c r="O62" s="1" t="s">
        <v>12</v>
      </c>
      <c r="Q62" s="4">
        <f>N62/25.4</f>
        <v>0.19744094488188979</v>
      </c>
      <c r="R62" s="1" t="s">
        <v>68</v>
      </c>
    </row>
    <row r="63" spans="2:18" ht="15.75" hidden="1" customHeight="1" x14ac:dyDescent="0.25">
      <c r="B63" s="2"/>
      <c r="C63" s="2"/>
      <c r="D63" s="2" t="s">
        <v>15</v>
      </c>
      <c r="E63" s="11">
        <f>360/(2*E46)</f>
        <v>4</v>
      </c>
      <c r="F63" s="1" t="s">
        <v>18</v>
      </c>
      <c r="K63" s="2"/>
      <c r="L63" s="2"/>
      <c r="M63" s="2" t="s">
        <v>19</v>
      </c>
      <c r="N63" s="3">
        <f>N49*N74</f>
        <v>1.0625</v>
      </c>
      <c r="O63" s="1" t="s">
        <v>12</v>
      </c>
    </row>
    <row r="64" spans="2:18" ht="15" hidden="1" customHeight="1" x14ac:dyDescent="0.25">
      <c r="B64" s="2"/>
      <c r="C64" s="2"/>
      <c r="D64" s="2" t="s">
        <v>14</v>
      </c>
      <c r="E64" s="11">
        <f>360/(2*E46)</f>
        <v>4</v>
      </c>
      <c r="F64" s="1" t="s">
        <v>18</v>
      </c>
      <c r="K64" s="2"/>
      <c r="L64" s="2"/>
      <c r="M64" s="2" t="s">
        <v>20</v>
      </c>
      <c r="N64" s="3">
        <f>(3.14159-N49)*N74</f>
        <v>1.6078514999999998</v>
      </c>
      <c r="O64" s="1" t="s">
        <v>12</v>
      </c>
    </row>
    <row r="65" spans="2:20" ht="15" hidden="1" customHeight="1" x14ac:dyDescent="0.25">
      <c r="B65" s="2"/>
      <c r="C65" s="2"/>
      <c r="D65" s="2" t="s">
        <v>13</v>
      </c>
      <c r="E65" s="11">
        <f>E64/2</f>
        <v>2</v>
      </c>
      <c r="F65" s="1" t="s">
        <v>18</v>
      </c>
      <c r="K65" s="2"/>
      <c r="L65" s="2"/>
      <c r="M65" s="2" t="s">
        <v>21</v>
      </c>
      <c r="N65" s="3">
        <f>N57+N59</f>
        <v>2.4267499999999997</v>
      </c>
      <c r="O65" s="1" t="s">
        <v>12</v>
      </c>
    </row>
    <row r="66" spans="2:20" ht="14.25" hidden="1" customHeight="1" x14ac:dyDescent="0.25">
      <c r="B66" s="2"/>
      <c r="C66" s="2"/>
      <c r="D66" s="2"/>
      <c r="E66" s="3"/>
      <c r="K66" s="2"/>
      <c r="L66" s="2"/>
      <c r="M66" s="2" t="s">
        <v>15</v>
      </c>
      <c r="N66" s="11">
        <f>(360/N75)*N48</f>
        <v>14.4</v>
      </c>
      <c r="O66" s="1" t="s">
        <v>18</v>
      </c>
    </row>
    <row r="67" spans="2:20" ht="14.25" hidden="1" customHeight="1" x14ac:dyDescent="0.25">
      <c r="B67" s="2"/>
      <c r="D67" s="6" t="s">
        <v>26</v>
      </c>
      <c r="E67" s="1" t="s">
        <v>103</v>
      </c>
      <c r="K67" s="2"/>
      <c r="L67" s="2"/>
      <c r="M67" s="2" t="s">
        <v>14</v>
      </c>
      <c r="N67" s="11">
        <f>(360/N75)*(1-N48)</f>
        <v>21.599999999999998</v>
      </c>
      <c r="O67" s="1" t="s">
        <v>18</v>
      </c>
    </row>
    <row r="68" spans="2:20" ht="14.25" hidden="1" customHeight="1" x14ac:dyDescent="0.25">
      <c r="B68" s="2"/>
      <c r="K68" s="2"/>
      <c r="L68" s="2"/>
      <c r="M68" s="2" t="s">
        <v>13</v>
      </c>
      <c r="N68" s="4">
        <f>N67/2</f>
        <v>10.799999999999999</v>
      </c>
      <c r="O68" s="1" t="s">
        <v>18</v>
      </c>
    </row>
    <row r="69" spans="2:20" ht="14.25" hidden="1" customHeight="1" x14ac:dyDescent="0.25">
      <c r="B69" s="2"/>
      <c r="D69" s="2" t="s">
        <v>60</v>
      </c>
      <c r="E69" s="10">
        <f>H4</f>
        <v>60</v>
      </c>
      <c r="G69" s="1" t="s">
        <v>51</v>
      </c>
      <c r="K69" s="2"/>
      <c r="L69" s="2"/>
      <c r="M69" s="2"/>
      <c r="N69" s="3"/>
      <c r="T69" s="3"/>
    </row>
    <row r="70" spans="2:20" ht="14.25" hidden="1" customHeight="1" x14ac:dyDescent="0.25">
      <c r="B70" s="2"/>
      <c r="D70" s="2" t="s">
        <v>32</v>
      </c>
      <c r="E70" s="3">
        <f>E77*(E69+2.76)</f>
        <v>53.345999999999997</v>
      </c>
      <c r="F70" s="1" t="s">
        <v>12</v>
      </c>
      <c r="H70" s="4">
        <f>E70/25.4</f>
        <v>2.100236220472441</v>
      </c>
      <c r="I70" s="1" t="s">
        <v>68</v>
      </c>
      <c r="K70" s="2"/>
      <c r="L70" s="2"/>
      <c r="M70" s="6" t="s">
        <v>17</v>
      </c>
      <c r="N70" s="3"/>
      <c r="T70" s="3"/>
    </row>
    <row r="71" spans="2:20" ht="14.25" hidden="1" customHeight="1" x14ac:dyDescent="0.25">
      <c r="B71" s="2"/>
      <c r="D71" s="2" t="s">
        <v>31</v>
      </c>
      <c r="E71" s="3">
        <f>E77*E69</f>
        <v>51</v>
      </c>
      <c r="F71" s="1" t="s">
        <v>12</v>
      </c>
      <c r="K71" s="2"/>
      <c r="L71" s="2"/>
      <c r="T71" s="3"/>
    </row>
    <row r="72" spans="2:20" ht="14.25" hidden="1" customHeight="1" x14ac:dyDescent="0.25">
      <c r="B72" s="2"/>
      <c r="D72" s="2" t="s">
        <v>36</v>
      </c>
      <c r="E72" s="3">
        <f>E70-(2*E62)</f>
        <v>47.596429999999998</v>
      </c>
      <c r="F72" s="1" t="s">
        <v>12</v>
      </c>
      <c r="H72" s="4">
        <f>E72/25.4</f>
        <v>1.8738751968503937</v>
      </c>
      <c r="I72" s="1" t="s">
        <v>68</v>
      </c>
      <c r="K72" s="2"/>
      <c r="L72" s="2"/>
    </row>
    <row r="73" spans="2:20" ht="14.25" hidden="1" customHeight="1" x14ac:dyDescent="0.25">
      <c r="B73" s="2"/>
      <c r="D73" s="2"/>
      <c r="E73" s="3"/>
      <c r="K73" s="2"/>
      <c r="L73" s="2"/>
      <c r="M73" s="2" t="s">
        <v>52</v>
      </c>
      <c r="N73" s="4">
        <f>IF(L4="Module",25.4/N4,N4)</f>
        <v>29.882352941176471</v>
      </c>
      <c r="P73" s="90" t="s">
        <v>51</v>
      </c>
    </row>
    <row r="74" spans="2:20" ht="14.25" hidden="1" customHeight="1" x14ac:dyDescent="0.25">
      <c r="B74" s="2"/>
      <c r="C74" s="2"/>
      <c r="D74" s="6" t="s">
        <v>17</v>
      </c>
      <c r="E74" s="3" t="s">
        <v>101</v>
      </c>
      <c r="K74" s="2"/>
      <c r="L74" s="2"/>
      <c r="M74" s="2" t="s">
        <v>59</v>
      </c>
      <c r="N74" s="4">
        <f>IF(L4="DP",25.4/N4,N4)</f>
        <v>0.85</v>
      </c>
      <c r="P74" s="90"/>
    </row>
    <row r="75" spans="2:20" ht="16.5" hidden="1" customHeight="1" x14ac:dyDescent="0.25">
      <c r="B75" s="2"/>
      <c r="C75" s="2"/>
      <c r="K75" s="2"/>
      <c r="L75" s="2"/>
      <c r="M75" s="2" t="s">
        <v>60</v>
      </c>
      <c r="N75" s="10">
        <f>Q4</f>
        <v>10</v>
      </c>
      <c r="P75" s="1" t="s">
        <v>51</v>
      </c>
    </row>
    <row r="76" spans="2:20" ht="16.5" hidden="1" customHeight="1" x14ac:dyDescent="0.25">
      <c r="B76" s="2"/>
      <c r="C76" s="2"/>
      <c r="D76" s="2" t="s">
        <v>52</v>
      </c>
      <c r="E76" s="4">
        <f>IF(C4="Module",25.4/E4,E4)</f>
        <v>29.882352941176471</v>
      </c>
      <c r="G76" s="90" t="s">
        <v>100</v>
      </c>
      <c r="K76" s="2"/>
      <c r="L76" s="2"/>
      <c r="M76" s="2" t="s">
        <v>55</v>
      </c>
      <c r="N76" s="3">
        <f>N47*N74*2</f>
        <v>1.3939999999999999</v>
      </c>
      <c r="O76" s="1" t="s">
        <v>12</v>
      </c>
      <c r="Q76" s="4">
        <f>N76/25.4</f>
        <v>5.4881889763779529E-2</v>
      </c>
      <c r="R76" s="1" t="s">
        <v>68</v>
      </c>
    </row>
    <row r="77" spans="2:20" ht="16.5" hidden="1" customHeight="1" x14ac:dyDescent="0.25">
      <c r="B77" s="2"/>
      <c r="C77" s="2"/>
      <c r="D77" s="2" t="s">
        <v>59</v>
      </c>
      <c r="E77" s="4">
        <f>IF(C4="DP",25.4/E4,E4)</f>
        <v>0.85</v>
      </c>
      <c r="G77" s="91"/>
      <c r="L77" s="2"/>
      <c r="M77" s="2" t="s">
        <v>34</v>
      </c>
      <c r="N77" s="3">
        <f>N62*TAN(RADIANS(N68))</f>
        <v>0.9566624141261123</v>
      </c>
      <c r="O77" s="1" t="s">
        <v>12</v>
      </c>
      <c r="Q77" s="4">
        <f>N77/25.4</f>
        <v>3.7663874571894185E-2</v>
      </c>
      <c r="R77" s="1" t="s">
        <v>68</v>
      </c>
    </row>
    <row r="78" spans="2:20" ht="16.5" hidden="1" customHeight="1" x14ac:dyDescent="0.25">
      <c r="B78" s="2"/>
      <c r="C78" s="2"/>
      <c r="D78" s="2" t="s">
        <v>55</v>
      </c>
      <c r="E78" s="3">
        <f>E48*E77*2</f>
        <v>3.2893980000000003</v>
      </c>
      <c r="F78" s="1" t="s">
        <v>12</v>
      </c>
      <c r="H78" s="4">
        <f>E78/25.4</f>
        <v>0.12950385826771654</v>
      </c>
      <c r="I78" s="1" t="s">
        <v>68</v>
      </c>
      <c r="M78" s="2" t="s">
        <v>99</v>
      </c>
      <c r="N78" s="3">
        <f>IF(N75=6,N74*0.404,IF(N75=7,N74*0.468,IF(N75=8,N74*0.636,IF(N75=9,N74*0.746,IF(N75=10,N74*0.842,IF(N75=11,N74*0.934,IF(N75=12,N74*0.996,IF(N75=13,N74*1.062,IF(N75=14,N74*1.12,IF(N75=15,N74*1.17,N74*1.214))))))))))</f>
        <v>0.7157</v>
      </c>
      <c r="O78" s="1" t="s">
        <v>12</v>
      </c>
      <c r="Q78" s="4">
        <f>N78/25.4</f>
        <v>2.8177165354330711E-2</v>
      </c>
      <c r="R78" s="1" t="s">
        <v>68</v>
      </c>
    </row>
    <row r="79" spans="2:20" ht="16.5" hidden="1" customHeight="1" x14ac:dyDescent="0.25">
      <c r="C79" s="2"/>
      <c r="D79" s="2" t="s">
        <v>34</v>
      </c>
      <c r="E79" s="3">
        <f>E60*TAN(RADIANS(E65))</f>
        <v>1.2169888167874086</v>
      </c>
      <c r="F79" s="1" t="s">
        <v>12</v>
      </c>
      <c r="H79" s="4">
        <f>E79/25.4</f>
        <v>4.7912945542811364E-2</v>
      </c>
      <c r="I79" s="1" t="s">
        <v>68</v>
      </c>
      <c r="M79" s="2" t="s">
        <v>33</v>
      </c>
      <c r="N79" s="3">
        <f>IF(N75=6,N74*2.03,IF(N75=7,N74*2.35,IF(N75=8,N74*2.44,IF(N75=9,N74*2.56,IF(N75=10,N74*2.63,IF(N75=11,N74*2.65,IF(N75=12,N74*2.71,IF(N75=13,N74*2.72,IF(N75=14,N74*2.73,IF(N75=15,N74*2.74,N74*2.75))))))))))</f>
        <v>2.2355</v>
      </c>
      <c r="O79" s="1" t="s">
        <v>12</v>
      </c>
      <c r="Q79" s="4">
        <f>N79/25.4</f>
        <v>8.8011811023622058E-2</v>
      </c>
      <c r="R79" s="1" t="s">
        <v>68</v>
      </c>
    </row>
    <row r="80" spans="2:20" ht="15" hidden="1" customHeight="1" x14ac:dyDescent="0.25">
      <c r="D80" s="2" t="s">
        <v>99</v>
      </c>
      <c r="E80" s="3">
        <f>E79-(2*TAN(RADIANS(E65))*(E78/2))</f>
        <v>1.1021205074627924</v>
      </c>
      <c r="F80" s="1" t="s">
        <v>12</v>
      </c>
      <c r="H80" s="4">
        <f t="shared" ref="H80:H82" si="0">E80/25.4</f>
        <v>4.3390571159952464E-2</v>
      </c>
      <c r="I80" s="1" t="s">
        <v>68</v>
      </c>
      <c r="M80" s="47" t="s">
        <v>129</v>
      </c>
      <c r="N80" s="3">
        <f>SIN(RADIANS((N67+N66)/2))*N60*1.35</f>
        <v>4.1168711821353776</v>
      </c>
      <c r="O80" s="1" t="s">
        <v>12</v>
      </c>
      <c r="Q80" s="4">
        <f>N80/25.4</f>
        <v>0.16208154260375504</v>
      </c>
      <c r="R80" s="1" t="s">
        <v>68</v>
      </c>
    </row>
    <row r="81" spans="2:18" ht="15.75" hidden="1" customHeight="1" x14ac:dyDescent="0.25">
      <c r="B81" s="1" t="s">
        <v>102</v>
      </c>
      <c r="D81" s="2" t="s">
        <v>33</v>
      </c>
      <c r="E81" s="3">
        <f>3.63*E77</f>
        <v>3.0854999999999997</v>
      </c>
      <c r="F81" s="1" t="s">
        <v>12</v>
      </c>
      <c r="H81" s="4">
        <f t="shared" si="0"/>
        <v>0.1214763779527559</v>
      </c>
      <c r="I81" s="1" t="s">
        <v>68</v>
      </c>
      <c r="M81" s="2" t="s">
        <v>109</v>
      </c>
      <c r="N81" s="3">
        <f>(N8-N78)/2</f>
        <v>1.7005855910676888</v>
      </c>
      <c r="O81" s="1" t="s">
        <v>12</v>
      </c>
      <c r="Q81" s="4">
        <f>(N8-Q78)/2</f>
        <v>2.0443470083905235</v>
      </c>
      <c r="R81" s="1" t="s">
        <v>68</v>
      </c>
    </row>
    <row r="82" spans="2:18" ht="13.5" hidden="1" customHeight="1" x14ac:dyDescent="0.25">
      <c r="D82" s="47" t="s">
        <v>129</v>
      </c>
      <c r="E82" s="3">
        <f>SIN(RADIANS(E63))*E58*1.4</f>
        <v>3.9649159742188878</v>
      </c>
      <c r="F82" s="1" t="s">
        <v>12</v>
      </c>
      <c r="H82" s="4">
        <f t="shared" si="0"/>
        <v>0.15609905410310582</v>
      </c>
      <c r="I82" s="1" t="s">
        <v>68</v>
      </c>
      <c r="M82" s="47" t="s">
        <v>125</v>
      </c>
      <c r="N82" s="4">
        <f>(N62*SIN(RADIANS(N67/2)))/(2*(1-SIN(RADIANS(N67/2))))</f>
        <v>0.57820310406001696</v>
      </c>
      <c r="O82" s="1" t="s">
        <v>12</v>
      </c>
      <c r="Q82" s="4">
        <f>N82/25.4</f>
        <v>2.276390173464634E-2</v>
      </c>
      <c r="R82" s="1" t="s">
        <v>68</v>
      </c>
    </row>
    <row r="83" spans="2:18" ht="15.75" hidden="1" customHeight="1" x14ac:dyDescent="0.25">
      <c r="D83" s="2" t="s">
        <v>109</v>
      </c>
      <c r="E83" s="3">
        <f>(E8-E80)/2</f>
        <v>1.4313977333780477</v>
      </c>
      <c r="F83" s="1" t="s">
        <v>12</v>
      </c>
      <c r="H83" s="4">
        <f>(E8-H80)/2</f>
        <v>1.9607627015294677</v>
      </c>
      <c r="I83" s="1" t="s">
        <v>68</v>
      </c>
      <c r="M83" s="2"/>
    </row>
    <row r="84" spans="2:18" ht="15.75" hidden="1" customHeight="1" x14ac:dyDescent="0.25">
      <c r="D84" s="2" t="s">
        <v>117</v>
      </c>
      <c r="E84" s="4">
        <f>3.14159*E77</f>
        <v>2.6703514999999998</v>
      </c>
      <c r="F84" s="1" t="s">
        <v>12</v>
      </c>
      <c r="H84" s="4">
        <f>3.14159/E76</f>
        <v>0.10513194881889763</v>
      </c>
      <c r="I84" s="1" t="s">
        <v>68</v>
      </c>
      <c r="M84" s="2"/>
    </row>
    <row r="85" spans="2:18" ht="15.75" hidden="1" customHeight="1" x14ac:dyDescent="0.25">
      <c r="D85" s="47" t="s">
        <v>125</v>
      </c>
      <c r="E85" s="4">
        <f>(E60*SIN(RADIANS(E64/2)))/(2*(1-SIN(RADIANS(E64/2))))</f>
        <v>0.63011440566373944</v>
      </c>
      <c r="F85" s="1" t="s">
        <v>12</v>
      </c>
      <c r="H85" s="4">
        <f>E85/25.4</f>
        <v>2.4807653766288955E-2</v>
      </c>
      <c r="I85" s="1" t="s">
        <v>68</v>
      </c>
      <c r="M85" s="2"/>
    </row>
    <row r="86" spans="2:18" ht="15.75" hidden="1" customHeight="1" x14ac:dyDescent="0.25">
      <c r="D86" s="2"/>
      <c r="E86" s="4"/>
      <c r="H86" s="4"/>
      <c r="M86" s="2"/>
    </row>
    <row r="87" spans="2:18" ht="17.25" hidden="1" customHeight="1" x14ac:dyDescent="0.25">
      <c r="D87" s="6" t="s">
        <v>65</v>
      </c>
    </row>
    <row r="88" spans="2:18" ht="17.25" hidden="1" customHeight="1" x14ac:dyDescent="0.25">
      <c r="D88" s="2"/>
      <c r="E88" s="1" t="s">
        <v>63</v>
      </c>
    </row>
    <row r="89" spans="2:18" ht="17.25" hidden="1" customHeight="1" x14ac:dyDescent="0.25">
      <c r="D89" s="2"/>
      <c r="E89" s="1" t="s">
        <v>64</v>
      </c>
      <c r="J89" s="9"/>
    </row>
    <row r="90" spans="2:18" ht="15.75" hidden="1" customHeight="1" x14ac:dyDescent="0.25"/>
    <row r="91" spans="2:18" ht="12.75" customHeight="1" x14ac:dyDescent="0.25"/>
    <row r="98" spans="3:3" x14ac:dyDescent="0.25">
      <c r="C98" s="12"/>
    </row>
  </sheetData>
  <sheetProtection algorithmName="SHA-512" hashValue="05Ix8nigk/3Cw+QDeEVCqiYVk7ckelcEwYfBp7+sT1YUA2bU+QD/gJPTOZudq1xW6h5P8gcbw1GYHStNdjb4Ag==" saltValue="59OdteD7DE+1gV1baAmIFA==" spinCount="100000" sheet="1" objects="1" scenarios="1" selectLockedCells="1"/>
  <mergeCells count="5">
    <mergeCell ref="T46:T47"/>
    <mergeCell ref="B2:C2"/>
    <mergeCell ref="G76:G77"/>
    <mergeCell ref="K2:L2"/>
    <mergeCell ref="P73:P74"/>
  </mergeCells>
  <dataValidations count="7">
    <dataValidation type="decimal" allowBlank="1" showInputMessage="1" showErrorMessage="1" sqref="C5:C6 L5:L6">
      <formula1>0.2</formula1>
      <formula2>1</formula2>
    </dataValidation>
    <dataValidation type="whole" operator="greaterThanOrEqual" allowBlank="1" showErrorMessage="1" error="Select a tooth number greater than or equal to 17." sqref="H4">
      <formula1>17</formula1>
    </dataValidation>
    <dataValidation type="decimal" operator="greaterThan" allowBlank="1" showErrorMessage="1" sqref="E4">
      <formula1>0</formula1>
    </dataValidation>
    <dataValidation type="list" allowBlank="1" showErrorMessage="1" error="Select a gear system - either &quot;DP&quot; (Diametral Pitch) or &quot;Module&quot;" sqref="C4 L4">
      <formula1>$E$88:$E$89</formula1>
    </dataValidation>
    <dataValidation type="decimal" operator="greaterThanOrEqual" allowBlank="1" showInputMessage="1" showErrorMessage="1" sqref="N4">
      <formula1>0</formula1>
    </dataValidation>
    <dataValidation type="whole" allowBlank="1" showInputMessage="1" showErrorMessage="1" error="Enter an integer between 6 and 16" sqref="Q4">
      <formula1>6</formula1>
      <formula2>16</formula2>
    </dataValidation>
    <dataValidation type="decimal" operator="greaterThanOrEqual" allowBlank="1" showErrorMessage="1" error="Enter a cutter blank thickness greater than or equal to the optimum cutter thickness (refer to the cell directly above)" sqref="N8 E8">
      <formula1>E7</formula1>
    </dataValidation>
  </dataValidations>
  <pageMargins left="0.47244094488188981" right="0.19685039370078741" top="0.74803149606299213" bottom="0.19685039370078741" header="0" footer="0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Involute Spur </vt:lpstr>
      <vt:lpstr>BS 978 Part 2 based "Cycloidal"</vt:lpstr>
      <vt:lpstr>'BS 978 Part 2 based "Cycloidal"'!Print_Area</vt:lpstr>
      <vt:lpstr>'Involute Spur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Clickspring Cycloidal Flycutter Calculator</dc:title>
  <dc:creator>Chris</dc:creator>
  <cp:lastModifiedBy>Chris</cp:lastModifiedBy>
  <cp:revision>1</cp:revision>
  <cp:lastPrinted>2020-03-27T04:08:47Z</cp:lastPrinted>
  <dcterms:created xsi:type="dcterms:W3CDTF">2017-01-21T08:37:29Z</dcterms:created>
  <dcterms:modified xsi:type="dcterms:W3CDTF">2020-07-26T22:18:47Z</dcterms:modified>
  <cp:version>1</cp:version>
</cp:coreProperties>
</file>